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imal\Documents\TEXTY_02_2018\24_25\Výměna_oken_DM\"/>
    </mc:Choice>
  </mc:AlternateContent>
  <xr:revisionPtr revIDLastSave="0" documentId="13_ncr:1_{42B89F9F-48DA-49B9-B733-252DD7D55788}" xr6:coauthVersionLast="47" xr6:coauthVersionMax="47" xr10:uidLastSave="{00000000-0000-0000-0000-000000000000}"/>
  <bookViews>
    <workbookView xWindow="-120" yWindow="-120" windowWidth="20730" windowHeight="11040" firstSheet="1" activeTab="4" xr2:uid="{00000000-000D-0000-FFFF-FFFF00000000}"/>
  </bookViews>
  <sheets>
    <sheet name="Stavební rozpočet" sheetId="1" r:id="rId1"/>
    <sheet name="Stavební rozpočet - součet" sheetId="2" r:id="rId2"/>
    <sheet name="Výkaz výměr" sheetId="3" r:id="rId3"/>
    <sheet name="Krycí list rozpočtu" sheetId="4" r:id="rId4"/>
    <sheet name="VORN" sheetId="5" r:id="rId5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5" l="1"/>
  <c r="I35" i="5"/>
  <c r="I36" i="5" s="1"/>
  <c r="I24" i="4" s="1"/>
  <c r="I26" i="5"/>
  <c r="I25" i="5"/>
  <c r="I24" i="5"/>
  <c r="I23" i="5"/>
  <c r="I16" i="4" s="1"/>
  <c r="I22" i="5"/>
  <c r="I17" i="5"/>
  <c r="I16" i="5"/>
  <c r="I15" i="5"/>
  <c r="I10" i="5"/>
  <c r="F10" i="5"/>
  <c r="C10" i="5"/>
  <c r="F8" i="5"/>
  <c r="C8" i="5"/>
  <c r="F6" i="5"/>
  <c r="C6" i="5"/>
  <c r="F4" i="5"/>
  <c r="C4" i="5"/>
  <c r="F2" i="5"/>
  <c r="C2" i="5"/>
  <c r="I19" i="4"/>
  <c r="I18" i="4"/>
  <c r="I17" i="4"/>
  <c r="F16" i="4"/>
  <c r="I15" i="4"/>
  <c r="F15" i="4"/>
  <c r="F14" i="4"/>
  <c r="I10" i="4"/>
  <c r="F10" i="4"/>
  <c r="C10" i="4"/>
  <c r="F8" i="4"/>
  <c r="C8" i="4"/>
  <c r="F6" i="4"/>
  <c r="C6" i="4"/>
  <c r="F4" i="4"/>
  <c r="C4" i="4"/>
  <c r="F2" i="4"/>
  <c r="C2" i="4"/>
  <c r="F8" i="3"/>
  <c r="C8" i="3"/>
  <c r="F6" i="3"/>
  <c r="C6" i="3"/>
  <c r="F4" i="3"/>
  <c r="C4" i="3"/>
  <c r="F2" i="3"/>
  <c r="C2" i="3"/>
  <c r="I11" i="2"/>
  <c r="G8" i="2"/>
  <c r="C8" i="2"/>
  <c r="G6" i="2"/>
  <c r="C6" i="2"/>
  <c r="G4" i="2"/>
  <c r="C4" i="2"/>
  <c r="G2" i="2"/>
  <c r="C2" i="2"/>
  <c r="BJ234" i="1"/>
  <c r="Z234" i="1" s="1"/>
  <c r="BF234" i="1"/>
  <c r="BD234" i="1"/>
  <c r="AW234" i="1"/>
  <c r="AP234" i="1"/>
  <c r="BI234" i="1" s="1"/>
  <c r="AO234" i="1"/>
  <c r="BH234" i="1" s="1"/>
  <c r="AK234" i="1"/>
  <c r="AJ234" i="1"/>
  <c r="AH234" i="1"/>
  <c r="AG234" i="1"/>
  <c r="AF234" i="1"/>
  <c r="AE234" i="1"/>
  <c r="AD234" i="1"/>
  <c r="AC234" i="1"/>
  <c r="AB234" i="1"/>
  <c r="J234" i="1"/>
  <c r="AL234" i="1" s="1"/>
  <c r="I234" i="1"/>
  <c r="H234" i="1"/>
  <c r="BJ231" i="1"/>
  <c r="BF231" i="1"/>
  <c r="BD231" i="1"/>
  <c r="AX231" i="1"/>
  <c r="AP231" i="1"/>
  <c r="BI231" i="1" s="1"/>
  <c r="AO231" i="1"/>
  <c r="H231" i="1" s="1"/>
  <c r="AK231" i="1"/>
  <c r="AJ231" i="1"/>
  <c r="AH231" i="1"/>
  <c r="AG231" i="1"/>
  <c r="AF231" i="1"/>
  <c r="AE231" i="1"/>
  <c r="AD231" i="1"/>
  <c r="AC231" i="1"/>
  <c r="AB231" i="1"/>
  <c r="Z231" i="1"/>
  <c r="J231" i="1"/>
  <c r="AL231" i="1" s="1"/>
  <c r="BJ229" i="1"/>
  <c r="BF229" i="1"/>
  <c r="BD229" i="1"/>
  <c r="AP229" i="1"/>
  <c r="I229" i="1" s="1"/>
  <c r="AO229" i="1"/>
  <c r="AW229" i="1" s="1"/>
  <c r="AK229" i="1"/>
  <c r="AJ229" i="1"/>
  <c r="AH229" i="1"/>
  <c r="AG229" i="1"/>
  <c r="AF229" i="1"/>
  <c r="AE229" i="1"/>
  <c r="AD229" i="1"/>
  <c r="AC229" i="1"/>
  <c r="AB229" i="1"/>
  <c r="Z229" i="1"/>
  <c r="J229" i="1"/>
  <c r="AL229" i="1" s="1"/>
  <c r="BJ227" i="1"/>
  <c r="Z227" i="1" s="1"/>
  <c r="BF227" i="1"/>
  <c r="BD227" i="1"/>
  <c r="AP227" i="1"/>
  <c r="AX227" i="1" s="1"/>
  <c r="AO227" i="1"/>
  <c r="AW227" i="1" s="1"/>
  <c r="AL227" i="1"/>
  <c r="AK227" i="1"/>
  <c r="AJ227" i="1"/>
  <c r="AH227" i="1"/>
  <c r="AG227" i="1"/>
  <c r="AF227" i="1"/>
  <c r="AE227" i="1"/>
  <c r="AD227" i="1"/>
  <c r="AC227" i="1"/>
  <c r="AB227" i="1"/>
  <c r="J227" i="1"/>
  <c r="H227" i="1"/>
  <c r="BJ224" i="1"/>
  <c r="Z224" i="1" s="1"/>
  <c r="BF224" i="1"/>
  <c r="BD224" i="1"/>
  <c r="AW224" i="1"/>
  <c r="BC224" i="1" s="1"/>
  <c r="AP224" i="1"/>
  <c r="AX224" i="1" s="1"/>
  <c r="AO224" i="1"/>
  <c r="BH224" i="1" s="1"/>
  <c r="AK224" i="1"/>
  <c r="AJ224" i="1"/>
  <c r="AH224" i="1"/>
  <c r="AG224" i="1"/>
  <c r="AF224" i="1"/>
  <c r="AE224" i="1"/>
  <c r="AD224" i="1"/>
  <c r="AC224" i="1"/>
  <c r="AB224" i="1"/>
  <c r="J224" i="1"/>
  <c r="AL224" i="1" s="1"/>
  <c r="H224" i="1"/>
  <c r="BJ221" i="1"/>
  <c r="Z221" i="1" s="1"/>
  <c r="BF221" i="1"/>
  <c r="BD221" i="1"/>
  <c r="AP221" i="1"/>
  <c r="BI221" i="1" s="1"/>
  <c r="AO221" i="1"/>
  <c r="AK221" i="1"/>
  <c r="AJ221" i="1"/>
  <c r="AH221" i="1"/>
  <c r="AG221" i="1"/>
  <c r="AF221" i="1"/>
  <c r="AE221" i="1"/>
  <c r="AD221" i="1"/>
  <c r="AC221" i="1"/>
  <c r="AB221" i="1"/>
  <c r="J221" i="1"/>
  <c r="AL221" i="1" s="1"/>
  <c r="I221" i="1"/>
  <c r="BJ218" i="1"/>
  <c r="Z218" i="1" s="1"/>
  <c r="BF218" i="1"/>
  <c r="BD218" i="1"/>
  <c r="AP218" i="1"/>
  <c r="AO218" i="1"/>
  <c r="AW218" i="1" s="1"/>
  <c r="AK218" i="1"/>
  <c r="AJ218" i="1"/>
  <c r="AH218" i="1"/>
  <c r="AG218" i="1"/>
  <c r="AF218" i="1"/>
  <c r="AE218" i="1"/>
  <c r="AD218" i="1"/>
  <c r="AC218" i="1"/>
  <c r="AB218" i="1"/>
  <c r="J218" i="1"/>
  <c r="AL218" i="1" s="1"/>
  <c r="BJ216" i="1"/>
  <c r="Z216" i="1" s="1"/>
  <c r="BF216" i="1"/>
  <c r="BD216" i="1"/>
  <c r="AW216" i="1"/>
  <c r="AV216" i="1" s="1"/>
  <c r="AP216" i="1"/>
  <c r="AX216" i="1" s="1"/>
  <c r="AO216" i="1"/>
  <c r="BH216" i="1" s="1"/>
  <c r="AK216" i="1"/>
  <c r="AJ216" i="1"/>
  <c r="AH216" i="1"/>
  <c r="AG216" i="1"/>
  <c r="AF216" i="1"/>
  <c r="AE216" i="1"/>
  <c r="AD216" i="1"/>
  <c r="AC216" i="1"/>
  <c r="AB216" i="1"/>
  <c r="J216" i="1"/>
  <c r="AL216" i="1" s="1"/>
  <c r="BJ214" i="1"/>
  <c r="Z214" i="1" s="1"/>
  <c r="BF214" i="1"/>
  <c r="BD214" i="1"/>
  <c r="AP214" i="1"/>
  <c r="BI214" i="1" s="1"/>
  <c r="AO214" i="1"/>
  <c r="BH214" i="1" s="1"/>
  <c r="AK214" i="1"/>
  <c r="AJ214" i="1"/>
  <c r="AH214" i="1"/>
  <c r="AG214" i="1"/>
  <c r="AF214" i="1"/>
  <c r="AE214" i="1"/>
  <c r="AD214" i="1"/>
  <c r="AC214" i="1"/>
  <c r="AB214" i="1"/>
  <c r="J214" i="1"/>
  <c r="AL214" i="1" s="1"/>
  <c r="BJ211" i="1"/>
  <c r="Z211" i="1" s="1"/>
  <c r="BF211" i="1"/>
  <c r="BD211" i="1"/>
  <c r="AP211" i="1"/>
  <c r="AX211" i="1" s="1"/>
  <c r="AO211" i="1"/>
  <c r="BH211" i="1" s="1"/>
  <c r="AK211" i="1"/>
  <c r="AT210" i="1" s="1"/>
  <c r="AJ211" i="1"/>
  <c r="AS210" i="1" s="1"/>
  <c r="AH211" i="1"/>
  <c r="AG211" i="1"/>
  <c r="AF211" i="1"/>
  <c r="AE211" i="1"/>
  <c r="AD211" i="1"/>
  <c r="AC211" i="1"/>
  <c r="AB211" i="1"/>
  <c r="J211" i="1"/>
  <c r="AL211" i="1" s="1"/>
  <c r="AU210" i="1" s="1"/>
  <c r="J210" i="1"/>
  <c r="G22" i="2" s="1"/>
  <c r="I22" i="2" s="1"/>
  <c r="BJ207" i="1"/>
  <c r="BF207" i="1"/>
  <c r="BD207" i="1"/>
  <c r="AP207" i="1"/>
  <c r="BI207" i="1" s="1"/>
  <c r="AC207" i="1" s="1"/>
  <c r="AO207" i="1"/>
  <c r="AW207" i="1" s="1"/>
  <c r="AK207" i="1"/>
  <c r="AJ207" i="1"/>
  <c r="AH207" i="1"/>
  <c r="AG207" i="1"/>
  <c r="AF207" i="1"/>
  <c r="AE207" i="1"/>
  <c r="AD207" i="1"/>
  <c r="Z207" i="1"/>
  <c r="J207" i="1"/>
  <c r="AL207" i="1" s="1"/>
  <c r="BJ204" i="1"/>
  <c r="BF204" i="1"/>
  <c r="BD204" i="1"/>
  <c r="AP204" i="1"/>
  <c r="AX204" i="1" s="1"/>
  <c r="AO204" i="1"/>
  <c r="BH204" i="1" s="1"/>
  <c r="AB204" i="1" s="1"/>
  <c r="AK204" i="1"/>
  <c r="AJ204" i="1"/>
  <c r="AH204" i="1"/>
  <c r="AG204" i="1"/>
  <c r="AF204" i="1"/>
  <c r="AE204" i="1"/>
  <c r="AD204" i="1"/>
  <c r="Z204" i="1"/>
  <c r="J204" i="1"/>
  <c r="AL204" i="1" s="1"/>
  <c r="BJ200" i="1"/>
  <c r="BF200" i="1"/>
  <c r="BD200" i="1"/>
  <c r="AW200" i="1"/>
  <c r="AP200" i="1"/>
  <c r="BI200" i="1" s="1"/>
  <c r="AC200" i="1" s="1"/>
  <c r="AO200" i="1"/>
  <c r="BH200" i="1" s="1"/>
  <c r="AB200" i="1" s="1"/>
  <c r="AK200" i="1"/>
  <c r="AJ200" i="1"/>
  <c r="AH200" i="1"/>
  <c r="AG200" i="1"/>
  <c r="AF200" i="1"/>
  <c r="AE200" i="1"/>
  <c r="AD200" i="1"/>
  <c r="Z200" i="1"/>
  <c r="J200" i="1"/>
  <c r="AL200" i="1" s="1"/>
  <c r="I200" i="1"/>
  <c r="H200" i="1"/>
  <c r="BJ196" i="1"/>
  <c r="BF196" i="1"/>
  <c r="BD196" i="1"/>
  <c r="AP196" i="1"/>
  <c r="BI196" i="1" s="1"/>
  <c r="AC196" i="1" s="1"/>
  <c r="AO196" i="1"/>
  <c r="H196" i="1" s="1"/>
  <c r="AK196" i="1"/>
  <c r="AJ196" i="1"/>
  <c r="AH196" i="1"/>
  <c r="AG196" i="1"/>
  <c r="AF196" i="1"/>
  <c r="AE196" i="1"/>
  <c r="AD196" i="1"/>
  <c r="Z196" i="1"/>
  <c r="J196" i="1"/>
  <c r="AL196" i="1" s="1"/>
  <c r="BJ192" i="1"/>
  <c r="BF192" i="1"/>
  <c r="BD192" i="1"/>
  <c r="AP192" i="1"/>
  <c r="I192" i="1" s="1"/>
  <c r="AO192" i="1"/>
  <c r="AW192" i="1" s="1"/>
  <c r="AL192" i="1"/>
  <c r="AK192" i="1"/>
  <c r="AJ192" i="1"/>
  <c r="AH192" i="1"/>
  <c r="AG192" i="1"/>
  <c r="AF192" i="1"/>
  <c r="AE192" i="1"/>
  <c r="AD192" i="1"/>
  <c r="Z192" i="1"/>
  <c r="J192" i="1"/>
  <c r="BJ189" i="1"/>
  <c r="BF189" i="1"/>
  <c r="BD189" i="1"/>
  <c r="AP189" i="1"/>
  <c r="AX189" i="1" s="1"/>
  <c r="AO189" i="1"/>
  <c r="AW189" i="1" s="1"/>
  <c r="AK189" i="1"/>
  <c r="AJ189" i="1"/>
  <c r="AH189" i="1"/>
  <c r="AG189" i="1"/>
  <c r="AF189" i="1"/>
  <c r="AE189" i="1"/>
  <c r="AD189" i="1"/>
  <c r="Z189" i="1"/>
  <c r="J189" i="1"/>
  <c r="AL189" i="1" s="1"/>
  <c r="BJ185" i="1"/>
  <c r="BF185" i="1"/>
  <c r="BD185" i="1"/>
  <c r="AW185" i="1"/>
  <c r="AP185" i="1"/>
  <c r="AX185" i="1" s="1"/>
  <c r="AO185" i="1"/>
  <c r="BH185" i="1" s="1"/>
  <c r="AB185" i="1" s="1"/>
  <c r="AK185" i="1"/>
  <c r="AJ185" i="1"/>
  <c r="AH185" i="1"/>
  <c r="AG185" i="1"/>
  <c r="AF185" i="1"/>
  <c r="AE185" i="1"/>
  <c r="AD185" i="1"/>
  <c r="Z185" i="1"/>
  <c r="J185" i="1"/>
  <c r="AL185" i="1" s="1"/>
  <c r="H185" i="1"/>
  <c r="BJ183" i="1"/>
  <c r="BF183" i="1"/>
  <c r="BD183" i="1"/>
  <c r="AX183" i="1"/>
  <c r="AP183" i="1"/>
  <c r="BI183" i="1" s="1"/>
  <c r="AC183" i="1" s="1"/>
  <c r="AO183" i="1"/>
  <c r="AK183" i="1"/>
  <c r="AT182" i="1" s="1"/>
  <c r="AJ183" i="1"/>
  <c r="AH183" i="1"/>
  <c r="AG183" i="1"/>
  <c r="AF183" i="1"/>
  <c r="AE183" i="1"/>
  <c r="AD183" i="1"/>
  <c r="Z183" i="1"/>
  <c r="J183" i="1"/>
  <c r="J182" i="1" s="1"/>
  <c r="G21" i="2" s="1"/>
  <c r="I21" i="2" s="1"/>
  <c r="I183" i="1"/>
  <c r="BJ179" i="1"/>
  <c r="BF179" i="1"/>
  <c r="BD179" i="1"/>
  <c r="AP179" i="1"/>
  <c r="AX179" i="1" s="1"/>
  <c r="AO179" i="1"/>
  <c r="BH179" i="1" s="1"/>
  <c r="AD179" i="1" s="1"/>
  <c r="AL179" i="1"/>
  <c r="AK179" i="1"/>
  <c r="AJ179" i="1"/>
  <c r="AH179" i="1"/>
  <c r="AG179" i="1"/>
  <c r="AF179" i="1"/>
  <c r="AC179" i="1"/>
  <c r="AB179" i="1"/>
  <c r="Z179" i="1"/>
  <c r="J179" i="1"/>
  <c r="BJ176" i="1"/>
  <c r="BF176" i="1"/>
  <c r="BD176" i="1"/>
  <c r="AP176" i="1"/>
  <c r="BI176" i="1" s="1"/>
  <c r="AE176" i="1" s="1"/>
  <c r="AO176" i="1"/>
  <c r="BH176" i="1" s="1"/>
  <c r="AD176" i="1" s="1"/>
  <c r="AK176" i="1"/>
  <c r="AJ176" i="1"/>
  <c r="AH176" i="1"/>
  <c r="AG176" i="1"/>
  <c r="AF176" i="1"/>
  <c r="AC176" i="1"/>
  <c r="AB176" i="1"/>
  <c r="Z176" i="1"/>
  <c r="J176" i="1"/>
  <c r="AL176" i="1" s="1"/>
  <c r="BJ173" i="1"/>
  <c r="BF173" i="1"/>
  <c r="BD173" i="1"/>
  <c r="AW173" i="1"/>
  <c r="AP173" i="1"/>
  <c r="BI173" i="1" s="1"/>
  <c r="AE173" i="1" s="1"/>
  <c r="AO173" i="1"/>
  <c r="H173" i="1" s="1"/>
  <c r="AK173" i="1"/>
  <c r="AJ173" i="1"/>
  <c r="AH173" i="1"/>
  <c r="AG173" i="1"/>
  <c r="AF173" i="1"/>
  <c r="AC173" i="1"/>
  <c r="AB173" i="1"/>
  <c r="Z173" i="1"/>
  <c r="J173" i="1"/>
  <c r="AL173" i="1" s="1"/>
  <c r="BJ170" i="1"/>
  <c r="BF170" i="1"/>
  <c r="BD170" i="1"/>
  <c r="AP170" i="1"/>
  <c r="I170" i="1" s="1"/>
  <c r="AO170" i="1"/>
  <c r="BH170" i="1" s="1"/>
  <c r="AD170" i="1" s="1"/>
  <c r="AK170" i="1"/>
  <c r="AJ170" i="1"/>
  <c r="AH170" i="1"/>
  <c r="AG170" i="1"/>
  <c r="AF170" i="1"/>
  <c r="AC170" i="1"/>
  <c r="AB170" i="1"/>
  <c r="Z170" i="1"/>
  <c r="J170" i="1"/>
  <c r="AL170" i="1" s="1"/>
  <c r="BJ167" i="1"/>
  <c r="Z167" i="1" s="1"/>
  <c r="BF167" i="1"/>
  <c r="BD167" i="1"/>
  <c r="AP167" i="1"/>
  <c r="AO167" i="1"/>
  <c r="H167" i="1" s="1"/>
  <c r="AK167" i="1"/>
  <c r="AJ167" i="1"/>
  <c r="AH167" i="1"/>
  <c r="AG167" i="1"/>
  <c r="AF167" i="1"/>
  <c r="AE167" i="1"/>
  <c r="AD167" i="1"/>
  <c r="AC167" i="1"/>
  <c r="AB167" i="1"/>
  <c r="J167" i="1"/>
  <c r="AL167" i="1" s="1"/>
  <c r="BJ164" i="1"/>
  <c r="BF164" i="1"/>
  <c r="BD164" i="1"/>
  <c r="AX164" i="1"/>
  <c r="AP164" i="1"/>
  <c r="I164" i="1" s="1"/>
  <c r="AO164" i="1"/>
  <c r="BH164" i="1" s="1"/>
  <c r="AD164" i="1" s="1"/>
  <c r="AK164" i="1"/>
  <c r="AJ164" i="1"/>
  <c r="AH164" i="1"/>
  <c r="AG164" i="1"/>
  <c r="AF164" i="1"/>
  <c r="AC164" i="1"/>
  <c r="AB164" i="1"/>
  <c r="Z164" i="1"/>
  <c r="J164" i="1"/>
  <c r="AL164" i="1" s="1"/>
  <c r="H164" i="1"/>
  <c r="BJ161" i="1"/>
  <c r="BF161" i="1"/>
  <c r="BD161" i="1"/>
  <c r="AW161" i="1"/>
  <c r="AP161" i="1"/>
  <c r="BI161" i="1" s="1"/>
  <c r="AE161" i="1" s="1"/>
  <c r="AO161" i="1"/>
  <c r="BH161" i="1" s="1"/>
  <c r="AD161" i="1" s="1"/>
  <c r="AK161" i="1"/>
  <c r="AJ161" i="1"/>
  <c r="AH161" i="1"/>
  <c r="AG161" i="1"/>
  <c r="AF161" i="1"/>
  <c r="AC161" i="1"/>
  <c r="AB161" i="1"/>
  <c r="Z161" i="1"/>
  <c r="J161" i="1"/>
  <c r="AL161" i="1" s="1"/>
  <c r="I161" i="1"/>
  <c r="H161" i="1"/>
  <c r="BJ158" i="1"/>
  <c r="BF158" i="1"/>
  <c r="BD158" i="1"/>
  <c r="AP158" i="1"/>
  <c r="BI158" i="1" s="1"/>
  <c r="AE158" i="1" s="1"/>
  <c r="AO158" i="1"/>
  <c r="H158" i="1" s="1"/>
  <c r="AK158" i="1"/>
  <c r="AJ158" i="1"/>
  <c r="AH158" i="1"/>
  <c r="AG158" i="1"/>
  <c r="AF158" i="1"/>
  <c r="AC158" i="1"/>
  <c r="AB158" i="1"/>
  <c r="Z158" i="1"/>
  <c r="J158" i="1"/>
  <c r="AL158" i="1" s="1"/>
  <c r="BJ155" i="1"/>
  <c r="BF155" i="1"/>
  <c r="BD155" i="1"/>
  <c r="AP155" i="1"/>
  <c r="I155" i="1" s="1"/>
  <c r="AO155" i="1"/>
  <c r="AW155" i="1" s="1"/>
  <c r="AL155" i="1"/>
  <c r="AK155" i="1"/>
  <c r="AJ155" i="1"/>
  <c r="AH155" i="1"/>
  <c r="AG155" i="1"/>
  <c r="AF155" i="1"/>
  <c r="AC155" i="1"/>
  <c r="AB155" i="1"/>
  <c r="Z155" i="1"/>
  <c r="J155" i="1"/>
  <c r="BJ152" i="1"/>
  <c r="BF152" i="1"/>
  <c r="BD152" i="1"/>
  <c r="AX152" i="1"/>
  <c r="AP152" i="1"/>
  <c r="BI152" i="1" s="1"/>
  <c r="AO152" i="1"/>
  <c r="H152" i="1" s="1"/>
  <c r="AK152" i="1"/>
  <c r="AJ152" i="1"/>
  <c r="AH152" i="1"/>
  <c r="AG152" i="1"/>
  <c r="AF152" i="1"/>
  <c r="AE152" i="1"/>
  <c r="AD152" i="1"/>
  <c r="AC152" i="1"/>
  <c r="AB152" i="1"/>
  <c r="Z152" i="1"/>
  <c r="J152" i="1"/>
  <c r="AL152" i="1" s="1"/>
  <c r="I152" i="1"/>
  <c r="BJ149" i="1"/>
  <c r="BF149" i="1"/>
  <c r="BD149" i="1"/>
  <c r="AP149" i="1"/>
  <c r="I149" i="1" s="1"/>
  <c r="AO149" i="1"/>
  <c r="AW149" i="1" s="1"/>
  <c r="AL149" i="1"/>
  <c r="AK149" i="1"/>
  <c r="AJ149" i="1"/>
  <c r="AH149" i="1"/>
  <c r="AG149" i="1"/>
  <c r="AF149" i="1"/>
  <c r="AC149" i="1"/>
  <c r="AB149" i="1"/>
  <c r="Z149" i="1"/>
  <c r="J149" i="1"/>
  <c r="BJ146" i="1"/>
  <c r="BF146" i="1"/>
  <c r="BD146" i="1"/>
  <c r="AP146" i="1"/>
  <c r="AX146" i="1" s="1"/>
  <c r="AO146" i="1"/>
  <c r="AW146" i="1" s="1"/>
  <c r="AL146" i="1"/>
  <c r="AK146" i="1"/>
  <c r="AJ146" i="1"/>
  <c r="AH146" i="1"/>
  <c r="AG146" i="1"/>
  <c r="AF146" i="1"/>
  <c r="AC146" i="1"/>
  <c r="AB146" i="1"/>
  <c r="Z146" i="1"/>
  <c r="J146" i="1"/>
  <c r="BJ143" i="1"/>
  <c r="BF143" i="1"/>
  <c r="BD143" i="1"/>
  <c r="AW143" i="1"/>
  <c r="AP143" i="1"/>
  <c r="AX143" i="1" s="1"/>
  <c r="AO143" i="1"/>
  <c r="BH143" i="1" s="1"/>
  <c r="AD143" i="1" s="1"/>
  <c r="AL143" i="1"/>
  <c r="AK143" i="1"/>
  <c r="AJ143" i="1"/>
  <c r="AH143" i="1"/>
  <c r="AG143" i="1"/>
  <c r="AF143" i="1"/>
  <c r="AC143" i="1"/>
  <c r="AB143" i="1"/>
  <c r="Z143" i="1"/>
  <c r="J143" i="1"/>
  <c r="BJ141" i="1"/>
  <c r="BF141" i="1"/>
  <c r="BD141" i="1"/>
  <c r="AP141" i="1"/>
  <c r="BI141" i="1" s="1"/>
  <c r="AE141" i="1" s="1"/>
  <c r="AO141" i="1"/>
  <c r="AK141" i="1"/>
  <c r="AJ141" i="1"/>
  <c r="AH141" i="1"/>
  <c r="AG141" i="1"/>
  <c r="AF141" i="1"/>
  <c r="AC141" i="1"/>
  <c r="AB141" i="1"/>
  <c r="Z141" i="1"/>
  <c r="J141" i="1"/>
  <c r="BJ138" i="1"/>
  <c r="Z138" i="1" s="1"/>
  <c r="BF138" i="1"/>
  <c r="BD138" i="1"/>
  <c r="AP138" i="1"/>
  <c r="AX138" i="1" s="1"/>
  <c r="AO138" i="1"/>
  <c r="BH138" i="1" s="1"/>
  <c r="AL138" i="1"/>
  <c r="AK138" i="1"/>
  <c r="AJ138" i="1"/>
  <c r="AH138" i="1"/>
  <c r="AG138" i="1"/>
  <c r="AF138" i="1"/>
  <c r="AE138" i="1"/>
  <c r="AD138" i="1"/>
  <c r="AC138" i="1"/>
  <c r="AB138" i="1"/>
  <c r="J138" i="1"/>
  <c r="H138" i="1"/>
  <c r="BJ135" i="1"/>
  <c r="BF135" i="1"/>
  <c r="BD135" i="1"/>
  <c r="AX135" i="1"/>
  <c r="AP135" i="1"/>
  <c r="BI135" i="1" s="1"/>
  <c r="AE135" i="1" s="1"/>
  <c r="AO135" i="1"/>
  <c r="BH135" i="1" s="1"/>
  <c r="AD135" i="1" s="1"/>
  <c r="AK135" i="1"/>
  <c r="AJ135" i="1"/>
  <c r="AH135" i="1"/>
  <c r="AG135" i="1"/>
  <c r="AF135" i="1"/>
  <c r="AC135" i="1"/>
  <c r="AB135" i="1"/>
  <c r="Z135" i="1"/>
  <c r="J135" i="1"/>
  <c r="AL135" i="1" s="1"/>
  <c r="I135" i="1"/>
  <c r="BJ131" i="1"/>
  <c r="BF131" i="1"/>
  <c r="BD131" i="1"/>
  <c r="AP131" i="1"/>
  <c r="BI131" i="1" s="1"/>
  <c r="AE131" i="1" s="1"/>
  <c r="AO131" i="1"/>
  <c r="H131" i="1" s="1"/>
  <c r="AK131" i="1"/>
  <c r="AJ131" i="1"/>
  <c r="AH131" i="1"/>
  <c r="AG131" i="1"/>
  <c r="AF131" i="1"/>
  <c r="AC131" i="1"/>
  <c r="AB131" i="1"/>
  <c r="Z131" i="1"/>
  <c r="J131" i="1"/>
  <c r="AL131" i="1" s="1"/>
  <c r="BJ127" i="1"/>
  <c r="BF127" i="1"/>
  <c r="BD127" i="1"/>
  <c r="AP127" i="1"/>
  <c r="I127" i="1" s="1"/>
  <c r="AO127" i="1"/>
  <c r="BH127" i="1" s="1"/>
  <c r="AD127" i="1" s="1"/>
  <c r="AK127" i="1"/>
  <c r="AJ127" i="1"/>
  <c r="AH127" i="1"/>
  <c r="AG127" i="1"/>
  <c r="AF127" i="1"/>
  <c r="AC127" i="1"/>
  <c r="AB127" i="1"/>
  <c r="Z127" i="1"/>
  <c r="J127" i="1"/>
  <c r="AL127" i="1" s="1"/>
  <c r="BJ124" i="1"/>
  <c r="BF124" i="1"/>
  <c r="BD124" i="1"/>
  <c r="AP124" i="1"/>
  <c r="BI124" i="1" s="1"/>
  <c r="AE124" i="1" s="1"/>
  <c r="AO124" i="1"/>
  <c r="BH124" i="1" s="1"/>
  <c r="AD124" i="1" s="1"/>
  <c r="AL124" i="1"/>
  <c r="AK124" i="1"/>
  <c r="AJ124" i="1"/>
  <c r="AH124" i="1"/>
  <c r="AG124" i="1"/>
  <c r="AF124" i="1"/>
  <c r="AC124" i="1"/>
  <c r="AB124" i="1"/>
  <c r="Z124" i="1"/>
  <c r="J124" i="1"/>
  <c r="I124" i="1"/>
  <c r="H124" i="1"/>
  <c r="BJ121" i="1"/>
  <c r="BF121" i="1"/>
  <c r="BD121" i="1"/>
  <c r="AX121" i="1"/>
  <c r="AP121" i="1"/>
  <c r="BI121" i="1" s="1"/>
  <c r="AE121" i="1" s="1"/>
  <c r="AO121" i="1"/>
  <c r="H121" i="1" s="1"/>
  <c r="AK121" i="1"/>
  <c r="AJ121" i="1"/>
  <c r="AH121" i="1"/>
  <c r="AG121" i="1"/>
  <c r="AF121" i="1"/>
  <c r="AC121" i="1"/>
  <c r="AB121" i="1"/>
  <c r="Z121" i="1"/>
  <c r="J121" i="1"/>
  <c r="I121" i="1"/>
  <c r="BJ117" i="1"/>
  <c r="BF117" i="1"/>
  <c r="BD117" i="1"/>
  <c r="AP117" i="1"/>
  <c r="I117" i="1" s="1"/>
  <c r="AO117" i="1"/>
  <c r="AW117" i="1" s="1"/>
  <c r="AK117" i="1"/>
  <c r="AJ117" i="1"/>
  <c r="AS110" i="1" s="1"/>
  <c r="AH117" i="1"/>
  <c r="AG117" i="1"/>
  <c r="AF117" i="1"/>
  <c r="AC117" i="1"/>
  <c r="AB117" i="1"/>
  <c r="Z117" i="1"/>
  <c r="J117" i="1"/>
  <c r="AL117" i="1" s="1"/>
  <c r="BJ114" i="1"/>
  <c r="BF114" i="1"/>
  <c r="BD114" i="1"/>
  <c r="AP114" i="1"/>
  <c r="AX114" i="1" s="1"/>
  <c r="AO114" i="1"/>
  <c r="AW114" i="1" s="1"/>
  <c r="AK114" i="1"/>
  <c r="AJ114" i="1"/>
  <c r="AH114" i="1"/>
  <c r="AG114" i="1"/>
  <c r="AF114" i="1"/>
  <c r="AC114" i="1"/>
  <c r="AB114" i="1"/>
  <c r="Z114" i="1"/>
  <c r="J114" i="1"/>
  <c r="AL114" i="1" s="1"/>
  <c r="BJ111" i="1"/>
  <c r="BF111" i="1"/>
  <c r="BD111" i="1"/>
  <c r="AW111" i="1"/>
  <c r="AP111" i="1"/>
  <c r="AX111" i="1" s="1"/>
  <c r="AO111" i="1"/>
  <c r="BH111" i="1" s="1"/>
  <c r="AD111" i="1" s="1"/>
  <c r="AL111" i="1"/>
  <c r="AK111" i="1"/>
  <c r="AJ111" i="1"/>
  <c r="AH111" i="1"/>
  <c r="AG111" i="1"/>
  <c r="AF111" i="1"/>
  <c r="AC111" i="1"/>
  <c r="AB111" i="1"/>
  <c r="Z111" i="1"/>
  <c r="J111" i="1"/>
  <c r="BJ108" i="1"/>
  <c r="Z108" i="1" s="1"/>
  <c r="BF108" i="1"/>
  <c r="BD108" i="1"/>
  <c r="AP108" i="1"/>
  <c r="AX108" i="1" s="1"/>
  <c r="AO108" i="1"/>
  <c r="AW108" i="1" s="1"/>
  <c r="AK108" i="1"/>
  <c r="AT67" i="1" s="1"/>
  <c r="AJ108" i="1"/>
  <c r="AH108" i="1"/>
  <c r="AG108" i="1"/>
  <c r="AF108" i="1"/>
  <c r="AE108" i="1"/>
  <c r="AD108" i="1"/>
  <c r="AC108" i="1"/>
  <c r="AB108" i="1"/>
  <c r="J108" i="1"/>
  <c r="AL108" i="1" s="1"/>
  <c r="BJ95" i="1"/>
  <c r="BF95" i="1"/>
  <c r="BD95" i="1"/>
  <c r="AP95" i="1"/>
  <c r="AX95" i="1" s="1"/>
  <c r="AO95" i="1"/>
  <c r="H95" i="1" s="1"/>
  <c r="AL95" i="1"/>
  <c r="AK95" i="1"/>
  <c r="AJ95" i="1"/>
  <c r="AH95" i="1"/>
  <c r="AG95" i="1"/>
  <c r="AF95" i="1"/>
  <c r="AC95" i="1"/>
  <c r="AB95" i="1"/>
  <c r="Z95" i="1"/>
  <c r="J95" i="1"/>
  <c r="BJ83" i="1"/>
  <c r="BF83" i="1"/>
  <c r="BD83" i="1"/>
  <c r="AP83" i="1"/>
  <c r="I83" i="1" s="1"/>
  <c r="AO83" i="1"/>
  <c r="BH83" i="1" s="1"/>
  <c r="AD83" i="1" s="1"/>
  <c r="AK83" i="1"/>
  <c r="AJ83" i="1"/>
  <c r="AH83" i="1"/>
  <c r="AG83" i="1"/>
  <c r="AF83" i="1"/>
  <c r="AC83" i="1"/>
  <c r="AB83" i="1"/>
  <c r="Z83" i="1"/>
  <c r="J83" i="1"/>
  <c r="AL83" i="1" s="1"/>
  <c r="BJ68" i="1"/>
  <c r="BF68" i="1"/>
  <c r="BD68" i="1"/>
  <c r="AP68" i="1"/>
  <c r="AX68" i="1" s="1"/>
  <c r="AO68" i="1"/>
  <c r="BH68" i="1" s="1"/>
  <c r="AD68" i="1" s="1"/>
  <c r="AK68" i="1"/>
  <c r="AJ68" i="1"/>
  <c r="AS67" i="1" s="1"/>
  <c r="AH68" i="1"/>
  <c r="AG68" i="1"/>
  <c r="AF68" i="1"/>
  <c r="AC68" i="1"/>
  <c r="AB68" i="1"/>
  <c r="Z68" i="1"/>
  <c r="J68" i="1"/>
  <c r="J67" i="1" s="1"/>
  <c r="G16" i="2" s="1"/>
  <c r="I16" i="2" s="1"/>
  <c r="BJ65" i="1"/>
  <c r="Z65" i="1" s="1"/>
  <c r="BF65" i="1"/>
  <c r="BD65" i="1"/>
  <c r="AX65" i="1"/>
  <c r="AP65" i="1"/>
  <c r="I65" i="1" s="1"/>
  <c r="AO65" i="1"/>
  <c r="AW65" i="1" s="1"/>
  <c r="AK65" i="1"/>
  <c r="AJ65" i="1"/>
  <c r="AH65" i="1"/>
  <c r="AG65" i="1"/>
  <c r="AF65" i="1"/>
  <c r="AE65" i="1"/>
  <c r="AD65" i="1"/>
  <c r="AC65" i="1"/>
  <c r="AB65" i="1"/>
  <c r="J65" i="1"/>
  <c r="AL65" i="1" s="1"/>
  <c r="BJ62" i="1"/>
  <c r="BF62" i="1"/>
  <c r="BD62" i="1"/>
  <c r="AW62" i="1"/>
  <c r="AP62" i="1"/>
  <c r="AX62" i="1" s="1"/>
  <c r="AO62" i="1"/>
  <c r="BH62" i="1" s="1"/>
  <c r="AD62" i="1" s="1"/>
  <c r="AK62" i="1"/>
  <c r="AJ62" i="1"/>
  <c r="AH62" i="1"/>
  <c r="AG62" i="1"/>
  <c r="AF62" i="1"/>
  <c r="AC62" i="1"/>
  <c r="AB62" i="1"/>
  <c r="Z62" i="1"/>
  <c r="J62" i="1"/>
  <c r="AL62" i="1" s="1"/>
  <c r="BJ57" i="1"/>
  <c r="BF57" i="1"/>
  <c r="BD57" i="1"/>
  <c r="AP57" i="1"/>
  <c r="BI57" i="1" s="1"/>
  <c r="AE57" i="1" s="1"/>
  <c r="AO57" i="1"/>
  <c r="BH57" i="1" s="1"/>
  <c r="AD57" i="1" s="1"/>
  <c r="AK57" i="1"/>
  <c r="AJ57" i="1"/>
  <c r="AH57" i="1"/>
  <c r="AG57" i="1"/>
  <c r="AF57" i="1"/>
  <c r="AC57" i="1"/>
  <c r="AB57" i="1"/>
  <c r="Z57" i="1"/>
  <c r="J57" i="1"/>
  <c r="AL57" i="1" s="1"/>
  <c r="H57" i="1"/>
  <c r="BJ53" i="1"/>
  <c r="BF53" i="1"/>
  <c r="BD53" i="1"/>
  <c r="AP53" i="1"/>
  <c r="BI53" i="1" s="1"/>
  <c r="AE53" i="1" s="1"/>
  <c r="AO53" i="1"/>
  <c r="BH53" i="1" s="1"/>
  <c r="AD53" i="1" s="1"/>
  <c r="AK53" i="1"/>
  <c r="AJ53" i="1"/>
  <c r="AH53" i="1"/>
  <c r="AG53" i="1"/>
  <c r="AF53" i="1"/>
  <c r="AC53" i="1"/>
  <c r="AB53" i="1"/>
  <c r="Z53" i="1"/>
  <c r="J53" i="1"/>
  <c r="AL53" i="1" s="1"/>
  <c r="I53" i="1"/>
  <c r="AT52" i="1"/>
  <c r="BJ49" i="1"/>
  <c r="BF49" i="1"/>
  <c r="BD49" i="1"/>
  <c r="AX49" i="1"/>
  <c r="AP49" i="1"/>
  <c r="BI49" i="1" s="1"/>
  <c r="AC49" i="1" s="1"/>
  <c r="AO49" i="1"/>
  <c r="BH49" i="1" s="1"/>
  <c r="AB49" i="1" s="1"/>
  <c r="AK49" i="1"/>
  <c r="AJ49" i="1"/>
  <c r="AH49" i="1"/>
  <c r="AG49" i="1"/>
  <c r="AF49" i="1"/>
  <c r="AE49" i="1"/>
  <c r="AD49" i="1"/>
  <c r="Z49" i="1"/>
  <c r="J49" i="1"/>
  <c r="AL49" i="1" s="1"/>
  <c r="I49" i="1"/>
  <c r="BJ46" i="1"/>
  <c r="BF46" i="1"/>
  <c r="BD46" i="1"/>
  <c r="AP46" i="1"/>
  <c r="BI46" i="1" s="1"/>
  <c r="AC46" i="1" s="1"/>
  <c r="AO46" i="1"/>
  <c r="BH46" i="1" s="1"/>
  <c r="AB46" i="1" s="1"/>
  <c r="AK46" i="1"/>
  <c r="AJ46" i="1"/>
  <c r="AH46" i="1"/>
  <c r="AG46" i="1"/>
  <c r="AF46" i="1"/>
  <c r="AE46" i="1"/>
  <c r="AD46" i="1"/>
  <c r="Z46" i="1"/>
  <c r="J46" i="1"/>
  <c r="AL46" i="1" s="1"/>
  <c r="H46" i="1"/>
  <c r="BJ44" i="1"/>
  <c r="BF44" i="1"/>
  <c r="BD44" i="1"/>
  <c r="AX44" i="1"/>
  <c r="AP44" i="1"/>
  <c r="BI44" i="1" s="1"/>
  <c r="AC44" i="1" s="1"/>
  <c r="AO44" i="1"/>
  <c r="BH44" i="1" s="1"/>
  <c r="AK44" i="1"/>
  <c r="AJ44" i="1"/>
  <c r="AH44" i="1"/>
  <c r="AG44" i="1"/>
  <c r="AF44" i="1"/>
  <c r="AE44" i="1"/>
  <c r="AD44" i="1"/>
  <c r="AB44" i="1"/>
  <c r="Z44" i="1"/>
  <c r="J44" i="1"/>
  <c r="AL44" i="1" s="1"/>
  <c r="I44" i="1"/>
  <c r="H44" i="1"/>
  <c r="BJ40" i="1"/>
  <c r="BF40" i="1"/>
  <c r="BD40" i="1"/>
  <c r="AW40" i="1"/>
  <c r="AP40" i="1"/>
  <c r="BI40" i="1" s="1"/>
  <c r="AC40" i="1" s="1"/>
  <c r="AO40" i="1"/>
  <c r="BH40" i="1" s="1"/>
  <c r="AB40" i="1" s="1"/>
  <c r="AK40" i="1"/>
  <c r="AJ40" i="1"/>
  <c r="AH40" i="1"/>
  <c r="AG40" i="1"/>
  <c r="AF40" i="1"/>
  <c r="AE40" i="1"/>
  <c r="AD40" i="1"/>
  <c r="Z40" i="1"/>
  <c r="J40" i="1"/>
  <c r="AL40" i="1" s="1"/>
  <c r="I40" i="1"/>
  <c r="H40" i="1"/>
  <c r="BJ37" i="1"/>
  <c r="BH37" i="1"/>
  <c r="AB37" i="1" s="1"/>
  <c r="BF37" i="1"/>
  <c r="BD37" i="1"/>
  <c r="AP37" i="1"/>
  <c r="BI37" i="1" s="1"/>
  <c r="AC37" i="1" s="1"/>
  <c r="AO37" i="1"/>
  <c r="AK37" i="1"/>
  <c r="AJ37" i="1"/>
  <c r="AH37" i="1"/>
  <c r="AG37" i="1"/>
  <c r="AF37" i="1"/>
  <c r="AE37" i="1"/>
  <c r="AD37" i="1"/>
  <c r="Z37" i="1"/>
  <c r="J37" i="1"/>
  <c r="AL37" i="1" s="1"/>
  <c r="J36" i="1"/>
  <c r="G14" i="2" s="1"/>
  <c r="I14" i="2" s="1"/>
  <c r="BJ33" i="1"/>
  <c r="BF33" i="1"/>
  <c r="BD33" i="1"/>
  <c r="AW33" i="1"/>
  <c r="AP33" i="1"/>
  <c r="BI33" i="1" s="1"/>
  <c r="AO33" i="1"/>
  <c r="BH33" i="1" s="1"/>
  <c r="AK33" i="1"/>
  <c r="AJ33" i="1"/>
  <c r="AH33" i="1"/>
  <c r="AG33" i="1"/>
  <c r="AF33" i="1"/>
  <c r="AE33" i="1"/>
  <c r="AD33" i="1"/>
  <c r="AC33" i="1"/>
  <c r="AB33" i="1"/>
  <c r="Z33" i="1"/>
  <c r="J33" i="1"/>
  <c r="AL33" i="1" s="1"/>
  <c r="I33" i="1"/>
  <c r="H33" i="1"/>
  <c r="BJ30" i="1"/>
  <c r="BF30" i="1"/>
  <c r="BD30" i="1"/>
  <c r="AX30" i="1"/>
  <c r="AP30" i="1"/>
  <c r="BI30" i="1" s="1"/>
  <c r="AC30" i="1" s="1"/>
  <c r="AO30" i="1"/>
  <c r="AW30" i="1" s="1"/>
  <c r="AV30" i="1" s="1"/>
  <c r="AK30" i="1"/>
  <c r="AT29" i="1" s="1"/>
  <c r="AJ30" i="1"/>
  <c r="AH30" i="1"/>
  <c r="AG30" i="1"/>
  <c r="AF30" i="1"/>
  <c r="AE30" i="1"/>
  <c r="AD30" i="1"/>
  <c r="Z30" i="1"/>
  <c r="J30" i="1"/>
  <c r="AL30" i="1" s="1"/>
  <c r="H30" i="1"/>
  <c r="AS29" i="1"/>
  <c r="BJ27" i="1"/>
  <c r="BF27" i="1"/>
  <c r="BD27" i="1"/>
  <c r="AP27" i="1"/>
  <c r="AX27" i="1" s="1"/>
  <c r="AO27" i="1"/>
  <c r="AW27" i="1" s="1"/>
  <c r="AK27" i="1"/>
  <c r="AJ27" i="1"/>
  <c r="AH27" i="1"/>
  <c r="AG27" i="1"/>
  <c r="AF27" i="1"/>
  <c r="AE27" i="1"/>
  <c r="AD27" i="1"/>
  <c r="Z27" i="1"/>
  <c r="J27" i="1"/>
  <c r="AL27" i="1" s="1"/>
  <c r="BJ25" i="1"/>
  <c r="BF25" i="1"/>
  <c r="BD25" i="1"/>
  <c r="AP25" i="1"/>
  <c r="BI25" i="1" s="1"/>
  <c r="AC25" i="1" s="1"/>
  <c r="AO25" i="1"/>
  <c r="BH25" i="1" s="1"/>
  <c r="AB25" i="1" s="1"/>
  <c r="AK25" i="1"/>
  <c r="AJ25" i="1"/>
  <c r="AH25" i="1"/>
  <c r="AG25" i="1"/>
  <c r="AF25" i="1"/>
  <c r="AE25" i="1"/>
  <c r="AD25" i="1"/>
  <c r="Z25" i="1"/>
  <c r="J25" i="1"/>
  <c r="AL25" i="1" s="1"/>
  <c r="H25" i="1"/>
  <c r="BJ22" i="1"/>
  <c r="BF22" i="1"/>
  <c r="BD22" i="1"/>
  <c r="AP22" i="1"/>
  <c r="BI22" i="1" s="1"/>
  <c r="AC22" i="1" s="1"/>
  <c r="AO22" i="1"/>
  <c r="BH22" i="1" s="1"/>
  <c r="AB22" i="1" s="1"/>
  <c r="AK22" i="1"/>
  <c r="AJ22" i="1"/>
  <c r="AH22" i="1"/>
  <c r="AG22" i="1"/>
  <c r="AF22" i="1"/>
  <c r="AE22" i="1"/>
  <c r="AD22" i="1"/>
  <c r="Z22" i="1"/>
  <c r="J22" i="1"/>
  <c r="AL22" i="1" s="1"/>
  <c r="H22" i="1"/>
  <c r="BJ19" i="1"/>
  <c r="BF19" i="1"/>
  <c r="BD19" i="1"/>
  <c r="AW19" i="1"/>
  <c r="AP19" i="1"/>
  <c r="BI19" i="1" s="1"/>
  <c r="AC19" i="1" s="1"/>
  <c r="AO19" i="1"/>
  <c r="BH19" i="1" s="1"/>
  <c r="AB19" i="1" s="1"/>
  <c r="AK19" i="1"/>
  <c r="AT13" i="1" s="1"/>
  <c r="AJ19" i="1"/>
  <c r="AH19" i="1"/>
  <c r="AG19" i="1"/>
  <c r="AF19" i="1"/>
  <c r="AE19" i="1"/>
  <c r="AD19" i="1"/>
  <c r="Z19" i="1"/>
  <c r="J19" i="1"/>
  <c r="AL19" i="1" s="1"/>
  <c r="H19" i="1"/>
  <c r="BJ14" i="1"/>
  <c r="BF14" i="1"/>
  <c r="BD14" i="1"/>
  <c r="AX14" i="1"/>
  <c r="AP14" i="1"/>
  <c r="BI14" i="1" s="1"/>
  <c r="AC14" i="1" s="1"/>
  <c r="AO14" i="1"/>
  <c r="AW14" i="1" s="1"/>
  <c r="AK14" i="1"/>
  <c r="AJ14" i="1"/>
  <c r="AS13" i="1" s="1"/>
  <c r="AH14" i="1"/>
  <c r="AG14" i="1"/>
  <c r="AF14" i="1"/>
  <c r="AE14" i="1"/>
  <c r="AD14" i="1"/>
  <c r="Z14" i="1"/>
  <c r="J14" i="1"/>
  <c r="AL14" i="1" s="1"/>
  <c r="I14" i="1"/>
  <c r="AU1" i="1"/>
  <c r="AT1" i="1"/>
  <c r="AS1" i="1"/>
  <c r="AU29" i="1" l="1"/>
  <c r="AX19" i="1"/>
  <c r="H29" i="1"/>
  <c r="E13" i="2" s="1"/>
  <c r="AU36" i="1"/>
  <c r="AT36" i="1"/>
  <c r="AS52" i="1"/>
  <c r="AW53" i="1"/>
  <c r="BC65" i="1"/>
  <c r="C20" i="4"/>
  <c r="I22" i="1"/>
  <c r="AW22" i="1"/>
  <c r="BC22" i="1" s="1"/>
  <c r="I30" i="1"/>
  <c r="I29" i="1" s="1"/>
  <c r="F13" i="2" s="1"/>
  <c r="I46" i="1"/>
  <c r="AS36" i="1"/>
  <c r="AW46" i="1"/>
  <c r="AV46" i="1" s="1"/>
  <c r="H49" i="1"/>
  <c r="I57" i="1"/>
  <c r="AX57" i="1"/>
  <c r="H62" i="1"/>
  <c r="AL68" i="1"/>
  <c r="AU67" i="1" s="1"/>
  <c r="AW95" i="1"/>
  <c r="AT110" i="1"/>
  <c r="AT140" i="1"/>
  <c r="AT154" i="1"/>
  <c r="I214" i="1"/>
  <c r="AS213" i="1"/>
  <c r="F22" i="4"/>
  <c r="AU154" i="1"/>
  <c r="I19" i="1"/>
  <c r="AV19" i="1"/>
  <c r="BC30" i="1"/>
  <c r="I37" i="1"/>
  <c r="AX37" i="1"/>
  <c r="H53" i="1"/>
  <c r="H68" i="1"/>
  <c r="AS140" i="1"/>
  <c r="AW167" i="1"/>
  <c r="BC167" i="1" s="1"/>
  <c r="H170" i="1"/>
  <c r="AS169" i="1"/>
  <c r="AX170" i="1"/>
  <c r="I176" i="1"/>
  <c r="AX176" i="1"/>
  <c r="H179" i="1"/>
  <c r="AX200" i="1"/>
  <c r="H204" i="1"/>
  <c r="H211" i="1"/>
  <c r="H210" i="1" s="1"/>
  <c r="E22" i="2" s="1"/>
  <c r="AT213" i="1"/>
  <c r="AW214" i="1"/>
  <c r="AV214" i="1" s="1"/>
  <c r="AX221" i="1"/>
  <c r="AW68" i="1"/>
  <c r="BC68" i="1" s="1"/>
  <c r="AX83" i="1"/>
  <c r="H111" i="1"/>
  <c r="H110" i="1" s="1"/>
  <c r="E17" i="2" s="1"/>
  <c r="AW124" i="1"/>
  <c r="H127" i="1"/>
  <c r="AX127" i="1"/>
  <c r="AW131" i="1"/>
  <c r="AW138" i="1"/>
  <c r="AV138" i="1" s="1"/>
  <c r="I141" i="1"/>
  <c r="AX141" i="1"/>
  <c r="H143" i="1"/>
  <c r="AS154" i="1"/>
  <c r="I158" i="1"/>
  <c r="AX158" i="1"/>
  <c r="AU169" i="1"/>
  <c r="AT169" i="1"/>
  <c r="AW179" i="1"/>
  <c r="AS182" i="1"/>
  <c r="I196" i="1"/>
  <c r="AX196" i="1"/>
  <c r="AW204" i="1"/>
  <c r="AV204" i="1" s="1"/>
  <c r="AW211" i="1"/>
  <c r="BC211" i="1" s="1"/>
  <c r="H214" i="1"/>
  <c r="AX214" i="1"/>
  <c r="H216" i="1"/>
  <c r="BC216" i="1"/>
  <c r="I224" i="1"/>
  <c r="I231" i="1"/>
  <c r="I18" i="5"/>
  <c r="AV14" i="1"/>
  <c r="BC14" i="1"/>
  <c r="BC27" i="1"/>
  <c r="AV27" i="1"/>
  <c r="AU13" i="1"/>
  <c r="BC138" i="1"/>
  <c r="AW221" i="1"/>
  <c r="H221" i="1"/>
  <c r="J13" i="1"/>
  <c r="C28" i="4"/>
  <c r="F28" i="4" s="1"/>
  <c r="BC19" i="1"/>
  <c r="AX22" i="1"/>
  <c r="I25" i="1"/>
  <c r="AW25" i="1"/>
  <c r="H27" i="1"/>
  <c r="AW37" i="1"/>
  <c r="H37" i="1"/>
  <c r="I62" i="1"/>
  <c r="I52" i="1" s="1"/>
  <c r="F15" i="2" s="1"/>
  <c r="AV65" i="1"/>
  <c r="I68" i="1"/>
  <c r="BC95" i="1"/>
  <c r="AV149" i="1"/>
  <c r="AX167" i="1"/>
  <c r="I167" i="1"/>
  <c r="I154" i="1" s="1"/>
  <c r="F19" i="2" s="1"/>
  <c r="AV211" i="1"/>
  <c r="BH27" i="1"/>
  <c r="AB27" i="1" s="1"/>
  <c r="AV227" i="1"/>
  <c r="BC227" i="1"/>
  <c r="AW141" i="1"/>
  <c r="H141" i="1"/>
  <c r="AX218" i="1"/>
  <c r="BC218" i="1" s="1"/>
  <c r="I218" i="1"/>
  <c r="AX25" i="1"/>
  <c r="I27" i="1"/>
  <c r="BI62" i="1"/>
  <c r="AE62" i="1" s="1"/>
  <c r="BI68" i="1"/>
  <c r="AE68" i="1" s="1"/>
  <c r="BC111" i="1"/>
  <c r="AX131" i="1"/>
  <c r="BC131" i="1" s="1"/>
  <c r="I131" i="1"/>
  <c r="AV146" i="1"/>
  <c r="BC146" i="1"/>
  <c r="J154" i="1"/>
  <c r="G19" i="2" s="1"/>
  <c r="I19" i="2" s="1"/>
  <c r="AU213" i="1"/>
  <c r="C21" i="4"/>
  <c r="BC179" i="1"/>
  <c r="BH14" i="1"/>
  <c r="AB14" i="1" s="1"/>
  <c r="AW135" i="1"/>
  <c r="H135" i="1"/>
  <c r="AX173" i="1"/>
  <c r="BC173" i="1" s="1"/>
  <c r="I173" i="1"/>
  <c r="AV189" i="1"/>
  <c r="BC189" i="1"/>
  <c r="BI218" i="1"/>
  <c r="AV108" i="1"/>
  <c r="BC108" i="1"/>
  <c r="H169" i="1"/>
  <c r="E20" i="2" s="1"/>
  <c r="AW183" i="1"/>
  <c r="H183" i="1"/>
  <c r="BI27" i="1"/>
  <c r="AC27" i="1" s="1"/>
  <c r="J29" i="1"/>
  <c r="G13" i="2" s="1"/>
  <c r="I13" i="2" s="1"/>
  <c r="BH30" i="1"/>
  <c r="AB30" i="1" s="1"/>
  <c r="H65" i="1"/>
  <c r="BC143" i="1"/>
  <c r="AW176" i="1"/>
  <c r="H176" i="1"/>
  <c r="BH183" i="1"/>
  <c r="AB183" i="1" s="1"/>
  <c r="BC185" i="1"/>
  <c r="AV114" i="1"/>
  <c r="BC114" i="1"/>
  <c r="C27" i="4"/>
  <c r="C18" i="4"/>
  <c r="BH65" i="1"/>
  <c r="AL121" i="1"/>
  <c r="AU110" i="1" s="1"/>
  <c r="J110" i="1"/>
  <c r="G17" i="2" s="1"/>
  <c r="I17" i="2" s="1"/>
  <c r="BH141" i="1"/>
  <c r="AD141" i="1" s="1"/>
  <c r="BI167" i="1"/>
  <c r="BC214" i="1"/>
  <c r="BH221" i="1"/>
  <c r="BC62" i="1"/>
  <c r="AV62" i="1"/>
  <c r="H14" i="1"/>
  <c r="C19" i="4"/>
  <c r="I36" i="1"/>
  <c r="F14" i="2" s="1"/>
  <c r="AU52" i="1"/>
  <c r="AW83" i="1"/>
  <c r="H83" i="1"/>
  <c r="AV117" i="1"/>
  <c r="J140" i="1"/>
  <c r="G18" i="2" s="1"/>
  <c r="I18" i="2" s="1"/>
  <c r="BC200" i="1"/>
  <c r="AV200" i="1"/>
  <c r="AX207" i="1"/>
  <c r="BC207" i="1" s="1"/>
  <c r="I207" i="1"/>
  <c r="AX33" i="1"/>
  <c r="BC33" i="1" s="1"/>
  <c r="AX40" i="1"/>
  <c r="BC40" i="1" s="1"/>
  <c r="AW44" i="1"/>
  <c r="AX117" i="1"/>
  <c r="BC117" i="1" s="1"/>
  <c r="AW121" i="1"/>
  <c r="BI127" i="1"/>
  <c r="AE127" i="1" s="1"/>
  <c r="BH131" i="1"/>
  <c r="AD131" i="1" s="1"/>
  <c r="AL141" i="1"/>
  <c r="AU140" i="1" s="1"/>
  <c r="AX149" i="1"/>
  <c r="BC149" i="1" s="1"/>
  <c r="AW152" i="1"/>
  <c r="AX155" i="1"/>
  <c r="BC155" i="1" s="1"/>
  <c r="AW158" i="1"/>
  <c r="BI164" i="1"/>
  <c r="AE164" i="1" s="1"/>
  <c r="BH167" i="1"/>
  <c r="BI170" i="1"/>
  <c r="AE170" i="1" s="1"/>
  <c r="BH173" i="1"/>
  <c r="AD173" i="1" s="1"/>
  <c r="AL183" i="1"/>
  <c r="AU182" i="1" s="1"/>
  <c r="AX192" i="1"/>
  <c r="BC192" i="1" s="1"/>
  <c r="AW196" i="1"/>
  <c r="BI204" i="1"/>
  <c r="AC204" i="1" s="1"/>
  <c r="BH207" i="1"/>
  <c r="AB207" i="1" s="1"/>
  <c r="BI211" i="1"/>
  <c r="BI216" i="1"/>
  <c r="BH218" i="1"/>
  <c r="AX229" i="1"/>
  <c r="BC229" i="1" s="1"/>
  <c r="AW231" i="1"/>
  <c r="AX46" i="1"/>
  <c r="AW49" i="1"/>
  <c r="AX53" i="1"/>
  <c r="BC53" i="1" s="1"/>
  <c r="AW57" i="1"/>
  <c r="BI65" i="1"/>
  <c r="AV68" i="1"/>
  <c r="BI83" i="1"/>
  <c r="AE83" i="1" s="1"/>
  <c r="BH95" i="1"/>
  <c r="AD95" i="1" s="1"/>
  <c r="AX124" i="1"/>
  <c r="AW127" i="1"/>
  <c r="AX161" i="1"/>
  <c r="BC161" i="1" s="1"/>
  <c r="AW164" i="1"/>
  <c r="AW170" i="1"/>
  <c r="AV173" i="1"/>
  <c r="I204" i="1"/>
  <c r="H207" i="1"/>
  <c r="I211" i="1"/>
  <c r="I210" i="1" s="1"/>
  <c r="F22" i="2" s="1"/>
  <c r="I216" i="1"/>
  <c r="I213" i="1" s="1"/>
  <c r="F23" i="2" s="1"/>
  <c r="H218" i="1"/>
  <c r="AX234" i="1"/>
  <c r="AV234" i="1" s="1"/>
  <c r="BI95" i="1"/>
  <c r="AE95" i="1" s="1"/>
  <c r="BH108" i="1"/>
  <c r="BI111" i="1"/>
  <c r="AE111" i="1" s="1"/>
  <c r="BH114" i="1"/>
  <c r="AD114" i="1" s="1"/>
  <c r="BI138" i="1"/>
  <c r="BI143" i="1"/>
  <c r="AE143" i="1" s="1"/>
  <c r="BH146" i="1"/>
  <c r="AD146" i="1" s="1"/>
  <c r="BI179" i="1"/>
  <c r="AE179" i="1" s="1"/>
  <c r="BI185" i="1"/>
  <c r="AC185" i="1" s="1"/>
  <c r="BH189" i="1"/>
  <c r="AB189" i="1" s="1"/>
  <c r="BI224" i="1"/>
  <c r="BH227" i="1"/>
  <c r="J52" i="1"/>
  <c r="G15" i="2" s="1"/>
  <c r="I15" i="2" s="1"/>
  <c r="AV95" i="1"/>
  <c r="BI108" i="1"/>
  <c r="AV111" i="1"/>
  <c r="BI114" i="1"/>
  <c r="AE114" i="1" s="1"/>
  <c r="BH117" i="1"/>
  <c r="AD117" i="1" s="1"/>
  <c r="AV143" i="1"/>
  <c r="BI146" i="1"/>
  <c r="AE146" i="1" s="1"/>
  <c r="BH149" i="1"/>
  <c r="AD149" i="1" s="1"/>
  <c r="BH155" i="1"/>
  <c r="AD155" i="1" s="1"/>
  <c r="AV179" i="1"/>
  <c r="AV185" i="1"/>
  <c r="BI189" i="1"/>
  <c r="AC189" i="1" s="1"/>
  <c r="BH192" i="1"/>
  <c r="AB192" i="1" s="1"/>
  <c r="J213" i="1"/>
  <c r="G23" i="2" s="1"/>
  <c r="I23" i="2" s="1"/>
  <c r="AV224" i="1"/>
  <c r="BI227" i="1"/>
  <c r="BH229" i="1"/>
  <c r="I95" i="1"/>
  <c r="H108" i="1"/>
  <c r="I111" i="1"/>
  <c r="H114" i="1"/>
  <c r="BI117" i="1"/>
  <c r="AE117" i="1" s="1"/>
  <c r="BH121" i="1"/>
  <c r="AD121" i="1" s="1"/>
  <c r="I138" i="1"/>
  <c r="I143" i="1"/>
  <c r="H146" i="1"/>
  <c r="BI149" i="1"/>
  <c r="AE149" i="1" s="1"/>
  <c r="BH152" i="1"/>
  <c r="BI155" i="1"/>
  <c r="AE155" i="1" s="1"/>
  <c r="BH158" i="1"/>
  <c r="AD158" i="1" s="1"/>
  <c r="J169" i="1"/>
  <c r="G20" i="2" s="1"/>
  <c r="I20" i="2" s="1"/>
  <c r="I179" i="1"/>
  <c r="I185" i="1"/>
  <c r="H189" i="1"/>
  <c r="BI192" i="1"/>
  <c r="AC192" i="1" s="1"/>
  <c r="BH196" i="1"/>
  <c r="AB196" i="1" s="1"/>
  <c r="BI229" i="1"/>
  <c r="BH231" i="1"/>
  <c r="I108" i="1"/>
  <c r="I114" i="1"/>
  <c r="H117" i="1"/>
  <c r="I146" i="1"/>
  <c r="H149" i="1"/>
  <c r="H155" i="1"/>
  <c r="H154" i="1" s="1"/>
  <c r="E19" i="2" s="1"/>
  <c r="I189" i="1"/>
  <c r="H192" i="1"/>
  <c r="I227" i="1"/>
  <c r="H229" i="1"/>
  <c r="C16" i="4" l="1"/>
  <c r="AV131" i="1"/>
  <c r="H67" i="1"/>
  <c r="E16" i="2" s="1"/>
  <c r="AV33" i="1"/>
  <c r="AV207" i="1"/>
  <c r="I13" i="1"/>
  <c r="BC46" i="1"/>
  <c r="I169" i="1"/>
  <c r="F20" i="2" s="1"/>
  <c r="C17" i="4"/>
  <c r="AV22" i="1"/>
  <c r="I110" i="1"/>
  <c r="F17" i="2" s="1"/>
  <c r="H52" i="1"/>
  <c r="E15" i="2" s="1"/>
  <c r="C15" i="4"/>
  <c r="H36" i="1"/>
  <c r="E14" i="2" s="1"/>
  <c r="AV167" i="1"/>
  <c r="BC234" i="1"/>
  <c r="I182" i="1"/>
  <c r="F21" i="2" s="1"/>
  <c r="I140" i="1"/>
  <c r="F18" i="2" s="1"/>
  <c r="H213" i="1"/>
  <c r="E23" i="2" s="1"/>
  <c r="BC124" i="1"/>
  <c r="BC204" i="1"/>
  <c r="F12" i="2"/>
  <c r="BC25" i="1"/>
  <c r="AV25" i="1"/>
  <c r="H13" i="1"/>
  <c r="AV192" i="1"/>
  <c r="AV124" i="1"/>
  <c r="I67" i="1"/>
  <c r="F16" i="2" s="1"/>
  <c r="AV152" i="1"/>
  <c r="BC152" i="1"/>
  <c r="BC164" i="1"/>
  <c r="AV164" i="1"/>
  <c r="BC135" i="1"/>
  <c r="AV135" i="1"/>
  <c r="AV229" i="1"/>
  <c r="BC57" i="1"/>
  <c r="AV57" i="1"/>
  <c r="BC83" i="1"/>
  <c r="AV83" i="1"/>
  <c r="BC176" i="1"/>
  <c r="AV176" i="1"/>
  <c r="AV161" i="1"/>
  <c r="AV218" i="1"/>
  <c r="BC183" i="1"/>
  <c r="AV183" i="1"/>
  <c r="AV53" i="1"/>
  <c r="AV231" i="1"/>
  <c r="BC231" i="1"/>
  <c r="BC170" i="1"/>
  <c r="AV170" i="1"/>
  <c r="AV121" i="1"/>
  <c r="BC121" i="1"/>
  <c r="BC127" i="1"/>
  <c r="AV127" i="1"/>
  <c r="BC49" i="1"/>
  <c r="AV49" i="1"/>
  <c r="AV158" i="1"/>
  <c r="BC158" i="1"/>
  <c r="AV155" i="1"/>
  <c r="C14" i="4"/>
  <c r="C22" i="4" s="1"/>
  <c r="H21" i="5" s="1"/>
  <c r="I21" i="5" s="1"/>
  <c r="H140" i="1"/>
  <c r="E18" i="2" s="1"/>
  <c r="G12" i="2"/>
  <c r="I12" i="2" s="1"/>
  <c r="G24" i="2" s="1"/>
  <c r="J12" i="1"/>
  <c r="G11" i="2" s="1"/>
  <c r="J237" i="1"/>
  <c r="AV40" i="1"/>
  <c r="BC221" i="1"/>
  <c r="AV221" i="1"/>
  <c r="AV196" i="1"/>
  <c r="BC196" i="1"/>
  <c r="AV44" i="1"/>
  <c r="BC44" i="1"/>
  <c r="H182" i="1"/>
  <c r="E21" i="2" s="1"/>
  <c r="BC141" i="1"/>
  <c r="AV141" i="1"/>
  <c r="AV37" i="1"/>
  <c r="BC37" i="1"/>
  <c r="E12" i="2" l="1"/>
  <c r="H12" i="1"/>
  <c r="E11" i="2" s="1"/>
  <c r="I12" i="1"/>
  <c r="F11" i="2" s="1"/>
  <c r="I27" i="5"/>
  <c r="F29" i="5" s="1"/>
  <c r="I14" i="4"/>
  <c r="I22" i="4" s="1"/>
  <c r="C29" i="4" s="1"/>
  <c r="F29" i="4" l="1"/>
  <c r="I28" i="4"/>
  <c r="I29" i="4" l="1"/>
</calcChain>
</file>

<file path=xl/sharedStrings.xml><?xml version="1.0" encoding="utf-8"?>
<sst xmlns="http://schemas.openxmlformats.org/spreadsheetml/2006/main" count="1423" uniqueCount="495">
  <si>
    <t>Slepý stavební rozpočet</t>
  </si>
  <si>
    <t>Název stavby:</t>
  </si>
  <si>
    <t>Doba výstavby:</t>
  </si>
  <si>
    <t>181 dní</t>
  </si>
  <si>
    <t>Objednatel:</t>
  </si>
  <si>
    <t> </t>
  </si>
  <si>
    <t>Druh stavby:</t>
  </si>
  <si>
    <t>Začátek výstavby:</t>
  </si>
  <si>
    <t>01.12.2024</t>
  </si>
  <si>
    <t>Projektant:</t>
  </si>
  <si>
    <t>ing. Karel Kundera</t>
  </si>
  <si>
    <t>Lokalita:</t>
  </si>
  <si>
    <t>Svitavy</t>
  </si>
  <si>
    <t>Konec výstavby:</t>
  </si>
  <si>
    <t>30.05.2025</t>
  </si>
  <si>
    <t>Zhotovitel:</t>
  </si>
  <si>
    <t>JKSO:</t>
  </si>
  <si>
    <t>8017212</t>
  </si>
  <si>
    <t>Zpracováno dne:</t>
  </si>
  <si>
    <t>04.10.2024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</si>
  <si>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</si>
  <si>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</si>
  <si>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</si>
  <si>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</si>
  <si>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</si>
  <si>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</si>
  <si>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</si>
  <si>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</si>
  <si>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</si>
  <si>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</si>
  <si>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</si>
  <si>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</si>
  <si>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</si>
  <si>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</si>
  <si>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</si>
  <si>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</si>
  <si>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</si>
  <si>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</si>
  <si>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</si>
  <si>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</si>
  <si>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</si>
  <si>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</si>
  <si>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</si>
  <si>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</si>
  <si>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</si>
  <si>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</si>
  <si>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</si>
  <si>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</si>
  <si>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</si>
  <si>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</si>
  <si>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</si>
  <si>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</si>
  <si>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Výměna oken - 1. etapa</t>
  </si>
  <si>
    <t>61</t>
  </si>
  <si>
    <t>Úprava povrchů vnitřní</t>
  </si>
  <si>
    <t>SO-01</t>
  </si>
  <si>
    <t>1</t>
  </si>
  <si>
    <t>612474611RT1</t>
  </si>
  <si>
    <t>Omítka stěn vnitřní, VPC jádro, vápen.štuk, ručně</t>
  </si>
  <si>
    <t>m2</t>
  </si>
  <si>
    <t>RTS I / 2024</t>
  </si>
  <si>
    <t>61_</t>
  </si>
  <si>
    <t>SO-01_6_</t>
  </si>
  <si>
    <t>SO-01_</t>
  </si>
  <si>
    <t>na pálené cihly a tvarovky - staré zdivo</t>
  </si>
  <si>
    <t>2*(0,6*5+1,8*24+0,6+2,1*3+2,1*2+2,1*15+0,75+2,85+2+2,7+2,7)*0,3</t>
  </si>
  <si>
    <t>Ostění</t>
  </si>
  <si>
    <t>25,65</t>
  </si>
  <si>
    <t>Parapety</t>
  </si>
  <si>
    <t>RTS komentář:</t>
  </si>
  <si>
    <t>Položka obsahuje cementový postřik podkladu tl. 3 mm, vápenocementové jádro tl. 15 mm a vápenný štuk tl. 2,5 mm.  Ruční provedení</t>
  </si>
  <si>
    <t>2</t>
  </si>
  <si>
    <t>601011102R00IM</t>
  </si>
  <si>
    <t>Postřik na stropech/podhledech cementový Cemix ručně</t>
  </si>
  <si>
    <t>0,3*85,5</t>
  </si>
  <si>
    <t>Nadpraží</t>
  </si>
  <si>
    <t>Postřik ze suché omítkové směsi Cemix, vhodný pro vnitřní i vnější použití. V položce jsou zakalkulovány náklady na pomocné lešení.</t>
  </si>
  <si>
    <t>3</t>
  </si>
  <si>
    <t>611474611R00</t>
  </si>
  <si>
    <t>Omítka stropů vnitřní, VPC jádro,vápen.štuk, ručně</t>
  </si>
  <si>
    <t>(0,9*5+1,2*24+1,2+1,5*3+1,2*2+2,4*15+1,5+1,5+1,5+1,8+1,8)*0,3</t>
  </si>
  <si>
    <t>4</t>
  </si>
  <si>
    <t>611-821-1VD</t>
  </si>
  <si>
    <t>Tmelení akrylátovým tmelem</t>
  </si>
  <si>
    <t>m</t>
  </si>
  <si>
    <t>371,32*2</t>
  </si>
  <si>
    <t>Z vnitřní i vnější strany</t>
  </si>
  <si>
    <t>5</t>
  </si>
  <si>
    <t>612409991R00</t>
  </si>
  <si>
    <t>Začištění omítek kolem oken,dveří apod.</t>
  </si>
  <si>
    <t>742,64/2</t>
  </si>
  <si>
    <t>62</t>
  </si>
  <si>
    <t>Úprava povrchů vnější</t>
  </si>
  <si>
    <t>6</t>
  </si>
  <si>
    <t>622315564R00</t>
  </si>
  <si>
    <t>Zateplovací systém PROFI, parapet, XPS tl. 40 mm</t>
  </si>
  <si>
    <t>62_</t>
  </si>
  <si>
    <t>86,4*0,25</t>
  </si>
  <si>
    <t>Položka obsahuje řezání desek, nanesení lepicího tmelu na izolační desky, nalepení desek, natažení stěrky, vtlačení výztužné tkaniny (1,68 m2), osazení parapetní lišty (5m/m2) a přehlazení stěrky. Součinitel tepelné vodivosti izolantu 0,035 W/m K. Včetně dodávek materiálu</t>
  </si>
  <si>
    <t>7</t>
  </si>
  <si>
    <t>622397212R00</t>
  </si>
  <si>
    <t>Oprava KZS,pl.do 0,09 m2,minerál,silikonová omítka</t>
  </si>
  <si>
    <t>371,32*0,25*0,1</t>
  </si>
  <si>
    <t>10% plochy</t>
  </si>
  <si>
    <t>Položka obsahuje: - vyříznutí a odstranění povrchové vrstvy KZS - vyříznutí a odstranění izolantu - odstranění souvrství tvořeného stěrkou, sklotextilní tkaninou a fasádní omítkou po obvodu vyříznutého izolantu v šířce 100 mm  - osazení nového kusu izolantu do připraveného otvoru - zabroušení povrchu izolantu - olepení okrajů původní fasádní omítky maskovací páskou - nanesení lepicí a stěrkovací hmoty  - vtlačení sklotextilní tkaniny - přestěrkování celé opravované plochy - odstranění maskovací pásky - (po vytvrdnutí plochy) olepení otvoru maskovací páskou - nanesení fasádní omítky - odstranění maskovací pásky</t>
  </si>
  <si>
    <t>64</t>
  </si>
  <si>
    <t>Výplně otvorů</t>
  </si>
  <si>
    <t>8</t>
  </si>
  <si>
    <t>968096002R00IM</t>
  </si>
  <si>
    <t>Bourání parapetů plastových š. do 50 cm</t>
  </si>
  <si>
    <t>64_</t>
  </si>
  <si>
    <t>76,2+49*0,05</t>
  </si>
  <si>
    <t>Mimo 1.PP a dveře a okno u vstupu</t>
  </si>
  <si>
    <t>V položce není kalkulována manipulace se sutí, která se oceňuje samostatně položkami souboru 979.</t>
  </si>
  <si>
    <t>9</t>
  </si>
  <si>
    <t>648991113RT3</t>
  </si>
  <si>
    <t>Osazení parapet.desek plast. a lamin. š.nad 20cm</t>
  </si>
  <si>
    <t>včetně dodávky plastové parapetní desky š. 300 mm</t>
  </si>
  <si>
    <t>Položka je určena pro osazování parapetních desek z plastických a poloplastických hmot na nízkoexpanzní montážní pěnu. Těsnění spáry mezi parapetem a rámem okna transpatentním silikonem. V položce jsou zakalkulovány i náklady na dodávku desek.</t>
  </si>
  <si>
    <t>10</t>
  </si>
  <si>
    <t>610991111R00</t>
  </si>
  <si>
    <t>Zakrývání výplní vnitřních otvorů</t>
  </si>
  <si>
    <t>163,47</t>
  </si>
  <si>
    <t>11</t>
  </si>
  <si>
    <t>630900020RA0</t>
  </si>
  <si>
    <t>Vybourání betonové mazaniny</t>
  </si>
  <si>
    <t>(81,9+1,8)*0,3*2</t>
  </si>
  <si>
    <t>Parapety vnitřní a vnější</t>
  </si>
  <si>
    <t>Vybourání betonových podkladů pod dlažby nebo mazanin tloušťky 50 mm. Svislé přemístění do výše jednoho podlaží a odvoz na skládku do 10 km. Položka neobsahuje poplatek za skládku pro vybouranou suť.</t>
  </si>
  <si>
    <t>12</t>
  </si>
  <si>
    <t>632451235R00</t>
  </si>
  <si>
    <t>Potěr pískocementový hlazený ocel. hlad. tl. 40 mm</t>
  </si>
  <si>
    <t>(81,9+1,8)*0,3</t>
  </si>
  <si>
    <t>Položka je určena pro potěr pískocementový na mazaninách nebo betonových podkladech (400 kg cementu / m3).</t>
  </si>
  <si>
    <t>764</t>
  </si>
  <si>
    <t>Konstrukce klempířské</t>
  </si>
  <si>
    <t>13</t>
  </si>
  <si>
    <t>764900050RAA</t>
  </si>
  <si>
    <t>Demontáž oplechování parapetů</t>
  </si>
  <si>
    <t>764_</t>
  </si>
  <si>
    <t>SO-01_76_</t>
  </si>
  <si>
    <t>z plechu pozinkovaného</t>
  </si>
  <si>
    <t>86,4</t>
  </si>
  <si>
    <t>Mimo vstupní dveře</t>
  </si>
  <si>
    <t>V položce není kalkulován poplatek za skládku pro vybouranou suť. Tyto náklady se oceňují individuálně podle místních podmínek. Orientační hmotnost vybouraných konstrukcí je 0,002 t/m konstrukce.</t>
  </si>
  <si>
    <t>14</t>
  </si>
  <si>
    <t>764816133RT2</t>
  </si>
  <si>
    <t>Oplechování parapetů, lakovaný Pz plech, rš 330 mm</t>
  </si>
  <si>
    <t>lepení Enkolitem</t>
  </si>
  <si>
    <t>78,9+49*0,05</t>
  </si>
  <si>
    <t>(1,8+1,5)+2*0,05</t>
  </si>
  <si>
    <t>Zhotovení parapetu a montáž na lepidlo. Dodávka plechu a spojovacího materiálu.</t>
  </si>
  <si>
    <t>15</t>
  </si>
  <si>
    <t>55342235</t>
  </si>
  <si>
    <t>Parapet vnější ohýbaný pozink tl. 0,7 mm š 320 mm</t>
  </si>
  <si>
    <t>78,65*1,1</t>
  </si>
  <si>
    <t>Venkovní pozinkované parapety jsou vyráběny z ohýbaného pozinkovaného plechu s povrchovou úpravou polyesterovou barvou. Vyznačují se především vysokou mechanickou odolností a prostorovou tuhostí, která usnadňuje montáž a zaručuje perfektní výsledný vzhled. Přední zaoblená hrana a ideální proporce dotváří architektonický detail každé fasády. Vhodné jako doplněk k plastovým oknům i k dřevěným eurooknům.  Parapety jsou vyráběny v délce 6 m. Cena je včetně řezání na požadovanou délku</t>
  </si>
  <si>
    <t>16</t>
  </si>
  <si>
    <t>998764101R00IM</t>
  </si>
  <si>
    <t>Přesun hmot pro klempířské konstr., výšky do 6 m</t>
  </si>
  <si>
    <t>t</t>
  </si>
  <si>
    <t>0,5065</t>
  </si>
  <si>
    <t>766</t>
  </si>
  <si>
    <t>Konstrukce truhlářské</t>
  </si>
  <si>
    <t>17</t>
  </si>
  <si>
    <t>766601111R00IM</t>
  </si>
  <si>
    <t>Montáž těsnění připoj. spáry, ostění, fólie+fólie</t>
  </si>
  <si>
    <t>766_</t>
  </si>
  <si>
    <t>2*(0,9+0,6)*5</t>
  </si>
  <si>
    <t>Vnitřní páska parotěsná</t>
  </si>
  <si>
    <t>2*(1,2+1,8)*24</t>
  </si>
  <si>
    <t>2*(1,2+0,6)*1</t>
  </si>
  <si>
    <t>2*(1,5+2,1)*3</t>
  </si>
  <si>
    <t>2*(1,2+2,1)*2</t>
  </si>
  <si>
    <t>2*(2,4+2,1)*15</t>
  </si>
  <si>
    <t>2*(1,5+0,75)*1</t>
  </si>
  <si>
    <t>2*(1,5+2,85)*1</t>
  </si>
  <si>
    <t>2*(1,5+2,0)*1</t>
  </si>
  <si>
    <t>2*(1,8+2,7)*1</t>
  </si>
  <si>
    <t>2*(1,8*2,7)*1</t>
  </si>
  <si>
    <t>Vnější páska - jen parapety - vodotěsná</t>
  </si>
  <si>
    <t>78,9+1,8+1,8+1,5</t>
  </si>
  <si>
    <t>Montáž těsnění připojovací spáry při montáži otvorových prvků vnitřní spára - parotěsná fólie, vnější spára - vodotěsná fólie.  Výplň spáry polyuretanovou pěnou není součástí položky</t>
  </si>
  <si>
    <t>18</t>
  </si>
  <si>
    <t>766-1VD</t>
  </si>
  <si>
    <t>Dodávka oken a dveří včetně montáže a demontáže, dopravy, uzávěr spár</t>
  </si>
  <si>
    <t>0,9*0,6*5</t>
  </si>
  <si>
    <t>Viz. Výpis oken a dveří I. etapa</t>
  </si>
  <si>
    <t>1,2*1,8*24</t>
  </si>
  <si>
    <t>1,2*0,6*1</t>
  </si>
  <si>
    <t>1,5*2,1*3</t>
  </si>
  <si>
    <t>1,2*2,1*2</t>
  </si>
  <si>
    <t>2,4*2,1*15</t>
  </si>
  <si>
    <t>1,5*0,75</t>
  </si>
  <si>
    <t>1,5*2,85</t>
  </si>
  <si>
    <t>1,5*2</t>
  </si>
  <si>
    <t>1,8*2,7</t>
  </si>
  <si>
    <t>19</t>
  </si>
  <si>
    <t>786622211RT2</t>
  </si>
  <si>
    <t>Žaluzie horizontální vnitřní AL lamely bílé</t>
  </si>
  <si>
    <t>včetně dodávky žaluzie</t>
  </si>
  <si>
    <t>1,2*1,8*5</t>
  </si>
  <si>
    <t>1,5*2,1*2</t>
  </si>
  <si>
    <t>1,2*2,1</t>
  </si>
  <si>
    <t>2,4*2,1*2</t>
  </si>
  <si>
    <t>1,5*2,1</t>
  </si>
  <si>
    <t>2,4*2,1*11</t>
  </si>
  <si>
    <t>20</t>
  </si>
  <si>
    <t>998766101R00IM</t>
  </si>
  <si>
    <t>Přesun hmot pro truhlářské konstr., výšky do 6 m</t>
  </si>
  <si>
    <t>6,6591</t>
  </si>
  <si>
    <t>771</t>
  </si>
  <si>
    <t>Podlahy z dlaždic</t>
  </si>
  <si>
    <t>21</t>
  </si>
  <si>
    <t>771101101R00</t>
  </si>
  <si>
    <t>Vysávání podlah prům.vysavačem pro pokládku dlažby</t>
  </si>
  <si>
    <t>771_</t>
  </si>
  <si>
    <t>SO-01_77_</t>
  </si>
  <si>
    <t>0,5*1,8*2</t>
  </si>
  <si>
    <t>Dlažba</t>
  </si>
  <si>
    <t>0,3*0,1*4</t>
  </si>
  <si>
    <t>Soklík</t>
  </si>
  <si>
    <t>22</t>
  </si>
  <si>
    <t>771101115R00</t>
  </si>
  <si>
    <t>Vyrovnání podkladů samonivelační hmotou tloušťky do 10 mm</t>
  </si>
  <si>
    <t xml:space="preserve">Položka je určena pro vyrovnání podlahy před kladením dlaždic na maltu nebo na tmel. Položka obsahuje :  - zametení podkladu, - rozmíchání suché směsi s vodou, - lití na podklad, popřípadě rozetření hladkou stěrkou. Položka neobsahuje materiál. </t>
  </si>
  <si>
    <t>23</t>
  </si>
  <si>
    <t>771101210RT2</t>
  </si>
  <si>
    <t>Penetrace podkladu pod dlažby</t>
  </si>
  <si>
    <t>penetrační nátěr ASO-Unigrund K</t>
  </si>
  <si>
    <t xml:space="preserve">Položka obsahuje montáž a dodávku penetračního nátěru pro zlepšení kontaktu s lepicím tmelem. </t>
  </si>
  <si>
    <t>24</t>
  </si>
  <si>
    <t>771212113R00</t>
  </si>
  <si>
    <t>Kladení dlažby keramické do TM, vel. do 400x400 mm</t>
  </si>
  <si>
    <t>Vstup a okno</t>
  </si>
  <si>
    <t>Položka je určena pro kladení dlažby do tmele, rovnoběžně se stěnou, bez skládání složitých vzorů a tvarů.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</si>
  <si>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25</t>
  </si>
  <si>
    <t>965081702R00</t>
  </si>
  <si>
    <t>Bourání soklíků z dlažeb keramických</t>
  </si>
  <si>
    <t>0,3*4</t>
  </si>
  <si>
    <t>V položce není kalkulována manipulace se sutí, která se oceňuje samostatně položkami souboru 979.  Položka je určena pro soklíky rovné i šikmé z keramické dlažby do tl. 15 mm a výšky do 100 mm</t>
  </si>
  <si>
    <t>26</t>
  </si>
  <si>
    <t>965081712RT1</t>
  </si>
  <si>
    <t>Bourání dlažeb keramických tl.10 mm, pl. do 1 m2</t>
  </si>
  <si>
    <t>ručně, dlaždice keramické</t>
  </si>
  <si>
    <t>V položce není kalkulována manipulace se sutí, která se oceňuje samostatně položkami souboru 979.  V položce nejsou zakalkulovány náklady na bourání podkladního lože pod dlažbou</t>
  </si>
  <si>
    <t>27</t>
  </si>
  <si>
    <t>771475014RV6</t>
  </si>
  <si>
    <t>Obklad soklíků keram.rovných, tmel,výška 10 cm</t>
  </si>
  <si>
    <t>Unifix S3 (lepidlo), Crystallfuge-flex (spárovací hmota)</t>
  </si>
  <si>
    <t>Lepidlo vhodné do bazénů, na balkóny a terasy. Výrobek firmy Schömburg. Spotřeba lepidla pro zubovou stěrku 8 mm, spotřeba spárovací hmoty pro spáru šířky 5, výšky 8 mm</t>
  </si>
  <si>
    <t>28</t>
  </si>
  <si>
    <t>59782222</t>
  </si>
  <si>
    <t>Dlaždice Neo 300 x 300 x 8 mm šedá</t>
  </si>
  <si>
    <t>(1,8+0,1*1,2)*1,25</t>
  </si>
  <si>
    <t>Dlažba dle stávající dlažby</t>
  </si>
  <si>
    <t>mat, povrch hladk</t>
  </si>
  <si>
    <t>29</t>
  </si>
  <si>
    <t>998771101R00</t>
  </si>
  <si>
    <t>Přesun hmot pro podlahy z dlaždic, výšky do 6 m</t>
  </si>
  <si>
    <t>0,08</t>
  </si>
  <si>
    <t>776</t>
  </si>
  <si>
    <t>Podlahy povlakové</t>
  </si>
  <si>
    <t>30</t>
  </si>
  <si>
    <t>776401800R00</t>
  </si>
  <si>
    <t>Demontáž soklíků nebo lišt, pryžových nebo z PVC</t>
  </si>
  <si>
    <t>776_</t>
  </si>
  <si>
    <t>1,5+0,3*2</t>
  </si>
  <si>
    <t>31</t>
  </si>
  <si>
    <t>776511820RT3</t>
  </si>
  <si>
    <t>Odstranění PVC a koberců lepených s podložkou</t>
  </si>
  <si>
    <t>z ploch do 10 m2</t>
  </si>
  <si>
    <t>0,3*1,5</t>
  </si>
  <si>
    <t>Balkonové dveře</t>
  </si>
  <si>
    <t>32</t>
  </si>
  <si>
    <t>776521100RU2</t>
  </si>
  <si>
    <t>Lepení povlak.podlah z pásů PVC na Chemopren</t>
  </si>
  <si>
    <t>včetně podlahoviny Novoflor extra, tl. 2,0 mm</t>
  </si>
  <si>
    <t>33</t>
  </si>
  <si>
    <t>776421100RU1</t>
  </si>
  <si>
    <t>Lepení podlahových soklíků z PVC a vinylu</t>
  </si>
  <si>
    <t>včetně dodávky soklíku PVC</t>
  </si>
  <si>
    <t>2,1</t>
  </si>
  <si>
    <t>34</t>
  </si>
  <si>
    <t>998776101R00</t>
  </si>
  <si>
    <t>Přesun hmot pro podlahy povlakové, výšky do 6 m</t>
  </si>
  <si>
    <t>0,0024</t>
  </si>
  <si>
    <t>781</t>
  </si>
  <si>
    <t>Obklady (keramické)</t>
  </si>
  <si>
    <t>35</t>
  </si>
  <si>
    <t>781320121R00</t>
  </si>
  <si>
    <t>Obkládání parapetů do tmele šířky do 300 mm</t>
  </si>
  <si>
    <t>781_</t>
  </si>
  <si>
    <t>SO-01_78_</t>
  </si>
  <si>
    <t>1,2*2+1,5</t>
  </si>
  <si>
    <t>Umývárny</t>
  </si>
  <si>
    <t xml:space="preserve">Položka je určena pro obkládání parapetů z obkladaček pórovinových, keramických, hutných i polohutných, do tmele. Položka platí pro položení obkladaček v jedné řadě. Položení obkladaček ve více řadách se oceňuje součtem délek jednotlivých řad. Položka obsahuje: - očištění podkladu od nesoudržných částic,  - rozměření plochy,  - rozbalení balíků, třídění nebo rozpojení obkladaček dodávaných v blocích, - příprava a nanesení tmelu na plochu, - řezání obkladaček, - kladení obkladaček, - spárování, čištění obkladu, odnesení odpadu na vykázané místo. Položka neobsahuje žádný materiál. Skládání složitých vzorů a tvarů se oceňuje individuálně. </t>
  </si>
  <si>
    <t>36</t>
  </si>
  <si>
    <t>781310121R00</t>
  </si>
  <si>
    <t>Obkládání ostění do tmele šířky do 300 mm</t>
  </si>
  <si>
    <t>1,5*6</t>
  </si>
  <si>
    <t xml:space="preserve">Položka je určena pro obkládání ostění i nadpraží z obkladaček pórovinových, keramických, hutných i polohutných, do tmele. Položka platí pro položení obkladaček v jedné řadě. Položení obkladaček ve více řadách se oceňuje součtem délek jednotlivých řad. Položka obsahuje: - očištění podkladu od nesoudržných částic,  - rozměření plochy,  - rozbalení balíků, třídění nebo rozpojení obkladaček dodávaných v blocích, - příprava a nanesení tmelu na plochu, - řezání obkladaček, - kladení obkladaček, - spárování, čištění obkladu, odnesení odpadu na vykázané místo. Položka neobsahuje žádný materiál. Skládání složitých vzorů a tvarů se oceňuje individuálně. </t>
  </si>
  <si>
    <t>37</t>
  </si>
  <si>
    <t>597813721</t>
  </si>
  <si>
    <t>Obkládačka System 200 x 400 mm bílá lesk</t>
  </si>
  <si>
    <t>0,3*(3,9+9)*1,2</t>
  </si>
  <si>
    <t>glazované keramické obkladové prvk</t>
  </si>
  <si>
    <t>38</t>
  </si>
  <si>
    <t>978059511R00</t>
  </si>
  <si>
    <t>Odsekání vnitřních obkladů stěn do 1 m2</t>
  </si>
  <si>
    <t>0,3*(1,2+1,5+1,2*4)</t>
  </si>
  <si>
    <t>39</t>
  </si>
  <si>
    <t>998781101R00</t>
  </si>
  <si>
    <t>Přesun hmot pro obklady keramické, výšky do 6 m</t>
  </si>
  <si>
    <t>0,2162</t>
  </si>
  <si>
    <t>784</t>
  </si>
  <si>
    <t>Malby</t>
  </si>
  <si>
    <t>40</t>
  </si>
  <si>
    <t>784195422R00IM</t>
  </si>
  <si>
    <t>Malba Primalex Polar, barva, bez penetrace, 2 x</t>
  </si>
  <si>
    <t>784_</t>
  </si>
  <si>
    <t>223,05*3</t>
  </si>
  <si>
    <t>Otěruvzdorný tekutý malířský vnitřní nátěr s výbornou kryvostí a vynikající bělostí. Ředí se vodou 0,5 - 0,75 l čisté vody na 1 kg barvy. Bez vyspravení sádrou a bez penetrace.</t>
  </si>
  <si>
    <t>41</t>
  </si>
  <si>
    <t>784191101R00IM</t>
  </si>
  <si>
    <t>Penetrace podkladu univerzální Primalex 1x</t>
  </si>
  <si>
    <t>Penetrační přípravek k provádění základního napouštěcího nátěru pod interiérové a fasádní akrylátové barvy, zpevňuje podklad, sjednocuje savost, omezuje tvorbu vlasových trhlinek a zvyšuje přilnavost dalších vrstev nátěrů, lepidel či tmelů.</t>
  </si>
  <si>
    <t>42</t>
  </si>
  <si>
    <t>784011222RT2</t>
  </si>
  <si>
    <t>Zakrytí podlah, včetně odstranění</t>
  </si>
  <si>
    <t>včetně papírové lepenky</t>
  </si>
  <si>
    <t>223,05</t>
  </si>
  <si>
    <t>43</t>
  </si>
  <si>
    <t>784011221RT2</t>
  </si>
  <si>
    <t>Zakrytí předmětů, včetně odstranění</t>
  </si>
  <si>
    <t>včetně dodávky fólie tl. 0,04 mm</t>
  </si>
  <si>
    <t>95</t>
  </si>
  <si>
    <t>Různé dokončovací konstrukce a práce na pozemních stavbách</t>
  </si>
  <si>
    <t>44</t>
  </si>
  <si>
    <t>952901110R00</t>
  </si>
  <si>
    <t>Čištění mytím vnějších ploch oken a dveří</t>
  </si>
  <si>
    <t>95_</t>
  </si>
  <si>
    <t>SO-01_9_</t>
  </si>
  <si>
    <t>45</t>
  </si>
  <si>
    <t>941955001R00</t>
  </si>
  <si>
    <t>Lešení lehké pomocné, výška podlahy do 1,2 m</t>
  </si>
  <si>
    <t>2*1,5*(3,45+4,4+3,85+5,7+2,1+2,4+2,1+3,5+3,5)</t>
  </si>
  <si>
    <t>2*1,5*(3,2+3,175+3,625+6,725+1,8+1,8+3,75+3,3+3,3+3,25+3,15+3,275)</t>
  </si>
  <si>
    <t>1,5*(6)</t>
  </si>
  <si>
    <t>46</t>
  </si>
  <si>
    <t>952901114R00</t>
  </si>
  <si>
    <t>Vyčištění budov o výšce podlaží nad 4 m</t>
  </si>
  <si>
    <t xml:space="preserve"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  </t>
  </si>
  <si>
    <t>47</t>
  </si>
  <si>
    <t>946941802RT2</t>
  </si>
  <si>
    <t>Demontáž pojízdných Alu věží BOSS, 2,5 x 1,45 m</t>
  </si>
  <si>
    <t>sada</t>
  </si>
  <si>
    <t>pracovní výška 6,3 m</t>
  </si>
  <si>
    <t xml:space="preserve">Položka je kalkulována pro demontáž pojízdného lešení - Alu věž BOSS. </t>
  </si>
  <si>
    <t>48</t>
  </si>
  <si>
    <t>946941192RT2</t>
  </si>
  <si>
    <t>Nájemné pojízdných Alu věží BOSS, 2,5 x 1,45 m</t>
  </si>
  <si>
    <t>den</t>
  </si>
  <si>
    <t>pracovní výška 6,2 m</t>
  </si>
  <si>
    <t>106</t>
  </si>
  <si>
    <t xml:space="preserve">Položka je kalkulována pro nájemné pojízdného lešení - Alu věž BOSS. </t>
  </si>
  <si>
    <t>49</t>
  </si>
  <si>
    <t>946941102RT2</t>
  </si>
  <si>
    <t>Montáž pojízdných Alu věží BOSS, 2,5 x 1,45 m</t>
  </si>
  <si>
    <t xml:space="preserve">Položka je kalkulována pro montáž pojízdného lešení - Alu věž BOSS. </t>
  </si>
  <si>
    <t>50</t>
  </si>
  <si>
    <t>978100010RA0</t>
  </si>
  <si>
    <t>Otlučení vnitřních omítek stropů vápenocem. 100 %</t>
  </si>
  <si>
    <t>V položce není kalkulován poplatek za skládku pro vybouranou suť. Tyto náklady se oceňují individuálně podle místních podmínek. Orientační hmotnost vybouraných konstrukcí je 0,05 t/m2 konstrukce.</t>
  </si>
  <si>
    <t>51</t>
  </si>
  <si>
    <t>978200010RA0IM</t>
  </si>
  <si>
    <t>Otlučení vnitřních omítek stěn vápenocem. 100 %</t>
  </si>
  <si>
    <t>59,88</t>
  </si>
  <si>
    <t>V položce není kalkulován poplatek za skládku pro vybouranou suť. Tyto náklady se oceňují individuálně podle místních podmínek. Orientační hmotnost vybouraných konstrukcí je 0,046 t/m2 konstrukce</t>
  </si>
  <si>
    <t>H01</t>
  </si>
  <si>
    <t>Budovy občanské výstavby</t>
  </si>
  <si>
    <t>52</t>
  </si>
  <si>
    <t>998011001R00IM</t>
  </si>
  <si>
    <t>Přesun hmot pro budovy zděné výšky do 6 m</t>
  </si>
  <si>
    <t>H01_</t>
  </si>
  <si>
    <t>19,5298</t>
  </si>
  <si>
    <t>S</t>
  </si>
  <si>
    <t>Přesuny sutí</t>
  </si>
  <si>
    <t>53</t>
  </si>
  <si>
    <t>979081111R00IM</t>
  </si>
  <si>
    <t>Odvoz suti a vybour. hmot na skládku do 1 km</t>
  </si>
  <si>
    <t>S_</t>
  </si>
  <si>
    <t>17,20729</t>
  </si>
  <si>
    <t>54</t>
  </si>
  <si>
    <t>979081121R00IM</t>
  </si>
  <si>
    <t>Příplatek k odvozu za každý další 1 km</t>
  </si>
  <si>
    <t>17,20729*10</t>
  </si>
  <si>
    <t>55</t>
  </si>
  <si>
    <t>979093111R00IM</t>
  </si>
  <si>
    <t>Uložení suti na skládku bez zhutnění</t>
  </si>
  <si>
    <t>V položce jsou zakalkulovány i náklady na hrubé urovnání</t>
  </si>
  <si>
    <t>56</t>
  </si>
  <si>
    <t>979990163R00IM</t>
  </si>
  <si>
    <t>Poplatek za uložení suti - plast + sklo, skupina odpadu 170904</t>
  </si>
  <si>
    <t>Okna, dveře atd</t>
  </si>
  <si>
    <t>57</t>
  </si>
  <si>
    <t>979011211R00</t>
  </si>
  <si>
    <t>Svislá doprava suti a vybour. hmot za 2.NP nošením</t>
  </si>
  <si>
    <t>17,20729/2</t>
  </si>
  <si>
    <t>Položka je určena pro dopravu suti a vybouraných hmot za prvé podlaží nad základním podlažím. Svislá doprava suti ze základního podlaží se neoceňuje. Základním podlažím je zpravidla přízemí</t>
  </si>
  <si>
    <t>58</t>
  </si>
  <si>
    <t>979087311R00</t>
  </si>
  <si>
    <t>Vodorovné přemístění suti nošením do 10 m</t>
  </si>
  <si>
    <t>59</t>
  </si>
  <si>
    <t>979087391R00</t>
  </si>
  <si>
    <t>Příplatek za nošení suti každých dalších 10 m</t>
  </si>
  <si>
    <t>17,20729*3</t>
  </si>
  <si>
    <t>60</t>
  </si>
  <si>
    <t>979082111R00</t>
  </si>
  <si>
    <t>Vnitrostaveništní doprava suti do 10 m</t>
  </si>
  <si>
    <t>Včetně případného složení na staveništní deponii</t>
  </si>
  <si>
    <t>979086213R00</t>
  </si>
  <si>
    <t>Nakládání vybouraných hmot na dopravní prostředek</t>
  </si>
  <si>
    <t>Nakládání ro vodorovnou dopravu</t>
  </si>
  <si>
    <t>Celkem:</t>
  </si>
  <si>
    <t>Poznámka:</t>
  </si>
  <si>
    <t>Slepý stavební rozpočet - rekapitulace</t>
  </si>
  <si>
    <t>Objekt</t>
  </si>
  <si>
    <t>Náklady (Kč) - dodávka</t>
  </si>
  <si>
    <t>Náklady (Kč) - Montáž</t>
  </si>
  <si>
    <t>Náklady (Kč) - celkem</t>
  </si>
  <si>
    <t>F</t>
  </si>
  <si>
    <t>T</t>
  </si>
  <si>
    <t>Výkaz výměr</t>
  </si>
  <si>
    <t>Zkrácený popis / Varianta</t>
  </si>
  <si>
    <t>Potřebné množství</t>
  </si>
  <si>
    <t>Krycí list slepého rozpočtu</t>
  </si>
  <si>
    <t>IČO/DIČ:</t>
  </si>
  <si>
    <t>42684374/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</si>
  <si>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</si>
  <si>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</si>
  <si>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</si>
  <si>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</si>
  <si>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</si>
  <si>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</si>
  <si>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</si>
  <si>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</si>
  <si>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</si>
  <si>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</si>
  <si>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</si>
  <si>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</si>
  <si>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</si>
  <si>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</si>
  <si>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</si>
  <si>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</si>
  <si>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</si>
  <si>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</si>
  <si>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</si>
  <si>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</si>
  <si>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</si>
  <si>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</si>
  <si>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</si>
  <si>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</si>
  <si>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</si>
  <si>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</si>
  <si>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</si>
  <si>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</si>
  <si>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</si>
  <si>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</si>
  <si>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</si>
  <si>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</si>
  <si>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</si>
  <si>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</si>
  <si>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</si>
  <si>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</si>
  <si>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</si>
  <si>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</si>
  <si>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</si>
  <si>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</si>
  <si>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</si>
  <si>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</si>
  <si>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</si>
  <si>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</si>
  <si>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</si>
  <si>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</si>
  <si>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</si>
  <si>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</si>
  <si>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</si>
  <si>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</si>
  <si>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</si>
  <si>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</si>
  <si>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</si>
  <si>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</si>
  <si>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„VOŠZ a SZŠ Svitavy – výměna oken v budově domova mládeže“</t>
  </si>
  <si>
    <t>Domov mládeže, Kijevská 1909/7, Předměstí, Svitavy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</si>
</sst>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A6CAF0"/>
        <bgColor rgb="FFA6CAF0"/>
      </patternFill>
    </fill>
  </fills>
  <borders count="8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1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4" fontId="2" fillId="3" borderId="29" xfId="0" applyNumberFormat="1" applyFont="1" applyFill="1" applyBorder="1" applyAlignment="1">
      <alignment horizontal="right" vertical="center"/>
    </xf>
    <xf numFmtId="0" fontId="2" fillId="3" borderId="30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4" fillId="0" borderId="0" xfId="0" applyFont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0" fillId="0" borderId="31" xfId="0" applyBorder="1"/>
    <xf numFmtId="0" fontId="4" fillId="0" borderId="32" xfId="0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36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4" fontId="3" fillId="0" borderId="29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4" xfId="0" applyFont="1" applyBorder="1" applyAlignment="1">
      <alignment horizontal="right" vertical="center"/>
    </xf>
    <xf numFmtId="0" fontId="2" fillId="0" borderId="45" xfId="0" applyFont="1" applyBorder="1" applyAlignment="1">
      <alignment horizontal="left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11" fillId="0" borderId="51" xfId="0" applyFont="1" applyBorder="1" applyAlignment="1">
      <alignment horizontal="left" vertical="center"/>
    </xf>
    <xf numFmtId="0" fontId="12" fillId="0" borderId="52" xfId="0" applyFont="1" applyBorder="1" applyAlignment="1">
      <alignment horizontal="left" vertical="center"/>
    </xf>
    <xf numFmtId="4" fontId="12" fillId="0" borderId="52" xfId="0" applyNumberFormat="1" applyFont="1" applyBorder="1" applyAlignment="1">
      <alignment horizontal="right" vertical="center"/>
    </xf>
    <xf numFmtId="0" fontId="12" fillId="0" borderId="52" xfId="0" applyFont="1" applyBorder="1" applyAlignment="1">
      <alignment horizontal="right" vertical="center"/>
    </xf>
    <xf numFmtId="0" fontId="11" fillId="0" borderId="55" xfId="0" applyFont="1" applyBorder="1" applyAlignment="1">
      <alignment horizontal="left" vertical="center"/>
    </xf>
    <xf numFmtId="4" fontId="12" fillId="0" borderId="59" xfId="0" applyNumberFormat="1" applyFont="1" applyBorder="1" applyAlignment="1">
      <alignment horizontal="right" vertical="center"/>
    </xf>
    <xf numFmtId="0" fontId="12" fillId="0" borderId="59" xfId="0" applyFont="1" applyBorder="1" applyAlignment="1">
      <alignment horizontal="right" vertical="center"/>
    </xf>
    <xf numFmtId="4" fontId="12" fillId="0" borderId="50" xfId="0" applyNumberFormat="1" applyFont="1" applyBorder="1" applyAlignment="1">
      <alignment horizontal="right" vertical="center"/>
    </xf>
    <xf numFmtId="4" fontId="12" fillId="0" borderId="25" xfId="0" applyNumberFormat="1" applyFont="1" applyBorder="1" applyAlignment="1">
      <alignment horizontal="right" vertical="center"/>
    </xf>
    <xf numFmtId="4" fontId="11" fillId="2" borderId="49" xfId="0" applyNumberFormat="1" applyFont="1" applyFill="1" applyBorder="1" applyAlignment="1">
      <alignment horizontal="right" vertical="center"/>
    </xf>
    <xf numFmtId="4" fontId="11" fillId="2" borderId="54" xfId="0" applyNumberFormat="1" applyFont="1" applyFill="1" applyBorder="1" applyAlignment="1">
      <alignment horizontal="right" vertical="center"/>
    </xf>
    <xf numFmtId="0" fontId="7" fillId="0" borderId="29" xfId="0" applyFont="1" applyBorder="1" applyAlignment="1">
      <alignment horizontal="left" vertical="center"/>
    </xf>
    <xf numFmtId="0" fontId="2" fillId="0" borderId="75" xfId="0" applyFont="1" applyBorder="1" applyAlignment="1">
      <alignment horizontal="right" vertical="center"/>
    </xf>
    <xf numFmtId="4" fontId="3" fillId="0" borderId="52" xfId="0" applyNumberFormat="1" applyFont="1" applyBorder="1" applyAlignment="1">
      <alignment horizontal="right" vertical="center"/>
    </xf>
    <xf numFmtId="0" fontId="3" fillId="0" borderId="52" xfId="0" applyFont="1" applyBorder="1" applyAlignment="1">
      <alignment horizontal="left" vertical="center"/>
    </xf>
    <xf numFmtId="4" fontId="3" fillId="0" borderId="79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/>
    </xf>
    <xf numFmtId="0" fontId="2" fillId="0" borderId="83" xfId="0" applyFont="1" applyBorder="1" applyAlignment="1">
      <alignment horizontal="left" vertical="center"/>
    </xf>
    <xf numFmtId="0" fontId="2" fillId="0" borderId="83" xfId="0" applyFont="1" applyBorder="1" applyAlignment="1">
      <alignment horizontal="right" vertical="center"/>
    </xf>
    <xf numFmtId="4" fontId="2" fillId="0" borderId="83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0" fontId="12" fillId="0" borderId="65" xfId="0" applyFont="1" applyBorder="1" applyAlignment="1">
      <alignment horizontal="left" vertical="center"/>
    </xf>
    <xf numFmtId="0" fontId="12" fillId="0" borderId="66" xfId="0" applyFont="1" applyBorder="1" applyAlignment="1">
      <alignment horizontal="left" vertical="center"/>
    </xf>
    <xf numFmtId="0" fontId="12" fillId="0" borderId="7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69" xfId="0" applyFont="1" applyBorder="1" applyAlignment="1">
      <alignment horizontal="left" vertical="center"/>
    </xf>
    <xf numFmtId="0" fontId="12" fillId="0" borderId="74" xfId="0" applyFont="1" applyBorder="1" applyAlignment="1">
      <alignment horizontal="left" vertical="center"/>
    </xf>
    <xf numFmtId="0" fontId="12" fillId="0" borderId="72" xfId="0" applyFont="1" applyBorder="1" applyAlignment="1">
      <alignment horizontal="left" vertical="center"/>
    </xf>
    <xf numFmtId="0" fontId="12" fillId="0" borderId="7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0" fontId="11" fillId="0" borderId="54" xfId="0" applyFont="1" applyBorder="1" applyAlignment="1">
      <alignment horizontal="left" vertical="center"/>
    </xf>
    <xf numFmtId="0" fontId="11" fillId="2" borderId="61" xfId="0" applyFont="1" applyFill="1" applyBorder="1" applyAlignment="1">
      <alignment horizontal="left" vertical="center"/>
    </xf>
    <xf numFmtId="0" fontId="11" fillId="2" borderId="62" xfId="0" applyFont="1" applyFill="1" applyBorder="1" applyAlignment="1">
      <alignment horizontal="left" vertical="center"/>
    </xf>
    <xf numFmtId="0" fontId="11" fillId="2" borderId="56" xfId="0" applyFont="1" applyFill="1" applyBorder="1" applyAlignment="1">
      <alignment horizontal="left" vertical="center"/>
    </xf>
    <xf numFmtId="0" fontId="11" fillId="2" borderId="63" xfId="0" applyFont="1" applyFill="1" applyBorder="1" applyAlignment="1">
      <alignment horizontal="left" vertical="center"/>
    </xf>
    <xf numFmtId="0" fontId="11" fillId="2" borderId="48" xfId="0" applyFont="1" applyFill="1" applyBorder="1" applyAlignment="1">
      <alignment horizontal="left" vertical="center"/>
    </xf>
    <xf numFmtId="0" fontId="11" fillId="2" borderId="53" xfId="0" applyFont="1" applyFill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60" xfId="0" applyFont="1" applyBorder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1" fillId="0" borderId="49" xfId="0" applyFont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57" xfId="0" applyFont="1" applyBorder="1" applyAlignment="1">
      <alignment horizontal="left" vertical="center"/>
    </xf>
    <xf numFmtId="0" fontId="11" fillId="0" borderId="58" xfId="0" applyFont="1" applyBorder="1" applyAlignment="1">
      <alignment horizontal="left" vertical="center"/>
    </xf>
    <xf numFmtId="0" fontId="11" fillId="0" borderId="61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10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/>
    </xf>
    <xf numFmtId="0" fontId="2" fillId="0" borderId="81" xfId="0" applyFont="1" applyBorder="1" applyAlignment="1">
      <alignment horizontal="left" vertical="center"/>
    </xf>
    <xf numFmtId="0" fontId="2" fillId="0" borderId="82" xfId="0" applyFont="1" applyBorder="1" applyAlignment="1">
      <alignment horizontal="left" vertical="center"/>
    </xf>
    <xf numFmtId="0" fontId="11" fillId="0" borderId="80" xfId="0" applyFont="1" applyBorder="1" applyAlignment="1">
      <alignment horizontal="left" vertical="center"/>
    </xf>
    <xf numFmtId="0" fontId="11" fillId="0" borderId="81" xfId="0" applyFont="1" applyBorder="1" applyAlignment="1">
      <alignment horizontal="left" vertical="center"/>
    </xf>
    <xf numFmtId="0" fontId="11" fillId="0" borderId="82" xfId="0" applyFont="1" applyBorder="1" applyAlignment="1">
      <alignment horizontal="left" vertical="center"/>
    </xf>
    <xf numFmtId="4" fontId="11" fillId="0" borderId="84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right" vertical="center"/>
    </xf>
    <xf numFmtId="0" fontId="11" fillId="0" borderId="82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77" xfId="0" applyFont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239"/>
  <sheetViews>
    <sheetView workbookViewId="0">
      <pane ySplit="11" topLeftCell="A12" activePane="bottomLeft" state="frozen"/>
      <selection pane="bottomLeft" activeCell="C4" sqref="C4:D5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3.42578125" customWidth="1"/>
    <col min="5" max="5" width="4.855468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166.5703125" hidden="1" customWidth="1"/>
    <col min="77" max="78" width="12.140625" hidden="1"/>
  </cols>
  <sheetData>
    <row r="1" spans="1:76" ht="54.75" customHeight="1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12" t="s">
        <v>1</v>
      </c>
      <c r="B2" s="104"/>
      <c r="C2" s="117" t="s">
        <v>493</v>
      </c>
      <c r="D2" s="118"/>
      <c r="E2" s="104" t="s">
        <v>2</v>
      </c>
      <c r="F2" s="104"/>
      <c r="G2" s="104" t="s">
        <v>3</v>
      </c>
      <c r="H2" s="116" t="s">
        <v>4</v>
      </c>
      <c r="I2" s="104" t="s">
        <v>5</v>
      </c>
      <c r="J2" s="104"/>
      <c r="K2" s="105"/>
    </row>
    <row r="3" spans="1:76" x14ac:dyDescent="0.25">
      <c r="A3" s="113"/>
      <c r="B3" s="85"/>
      <c r="C3" s="119"/>
      <c r="D3" s="119"/>
      <c r="E3" s="85"/>
      <c r="F3" s="85"/>
      <c r="G3" s="85"/>
      <c r="H3" s="85"/>
      <c r="I3" s="85"/>
      <c r="J3" s="85"/>
      <c r="K3" s="106"/>
    </row>
    <row r="4" spans="1:76" x14ac:dyDescent="0.25">
      <c r="A4" s="114" t="s">
        <v>6</v>
      </c>
      <c r="B4" s="85"/>
      <c r="C4" s="84" t="s">
        <v>494</v>
      </c>
      <c r="D4" s="85"/>
      <c r="E4" s="85" t="s">
        <v>7</v>
      </c>
      <c r="F4" s="85"/>
      <c r="G4" s="85" t="s">
        <v>8</v>
      </c>
      <c r="H4" s="84" t="s">
        <v>9</v>
      </c>
      <c r="I4" s="84" t="s">
        <v>10</v>
      </c>
      <c r="J4" s="85"/>
      <c r="K4" s="106"/>
    </row>
    <row r="5" spans="1:76" x14ac:dyDescent="0.25">
      <c r="A5" s="113"/>
      <c r="B5" s="85"/>
      <c r="C5" s="85"/>
      <c r="D5" s="85"/>
      <c r="E5" s="85"/>
      <c r="F5" s="85"/>
      <c r="G5" s="85"/>
      <c r="H5" s="85"/>
      <c r="I5" s="85"/>
      <c r="J5" s="85"/>
      <c r="K5" s="106"/>
    </row>
    <row r="6" spans="1:76" x14ac:dyDescent="0.25">
      <c r="A6" s="114" t="s">
        <v>11</v>
      </c>
      <c r="B6" s="85"/>
      <c r="C6" s="84" t="s">
        <v>12</v>
      </c>
      <c r="D6" s="85"/>
      <c r="E6" s="85" t="s">
        <v>13</v>
      </c>
      <c r="F6" s="85"/>
      <c r="G6" s="85" t="s">
        <v>14</v>
      </c>
      <c r="H6" s="84" t="s">
        <v>15</v>
      </c>
      <c r="I6" s="85" t="s">
        <v>5</v>
      </c>
      <c r="J6" s="85"/>
      <c r="K6" s="106"/>
    </row>
    <row r="7" spans="1:76" x14ac:dyDescent="0.25">
      <c r="A7" s="113"/>
      <c r="B7" s="85"/>
      <c r="C7" s="85"/>
      <c r="D7" s="85"/>
      <c r="E7" s="85"/>
      <c r="F7" s="85"/>
      <c r="G7" s="85"/>
      <c r="H7" s="85"/>
      <c r="I7" s="85"/>
      <c r="J7" s="85"/>
      <c r="K7" s="106"/>
    </row>
    <row r="8" spans="1:76" x14ac:dyDescent="0.25">
      <c r="A8" s="114" t="s">
        <v>16</v>
      </c>
      <c r="B8" s="85"/>
      <c r="C8" s="84" t="s">
        <v>17</v>
      </c>
      <c r="D8" s="85"/>
      <c r="E8" s="85" t="s">
        <v>18</v>
      </c>
      <c r="F8" s="85"/>
      <c r="G8" s="85" t="s">
        <v>19</v>
      </c>
      <c r="H8" s="84" t="s">
        <v>20</v>
      </c>
      <c r="I8" s="84" t="s">
        <v>10</v>
      </c>
      <c r="J8" s="85"/>
      <c r="K8" s="106"/>
    </row>
    <row r="9" spans="1:76" x14ac:dyDescent="0.25">
      <c r="A9" s="115"/>
      <c r="B9" s="107"/>
      <c r="C9" s="107"/>
      <c r="D9" s="107"/>
      <c r="E9" s="107"/>
      <c r="F9" s="107"/>
      <c r="G9" s="107"/>
      <c r="H9" s="107"/>
      <c r="I9" s="107"/>
      <c r="J9" s="107"/>
      <c r="K9" s="108"/>
    </row>
    <row r="10" spans="1:76" x14ac:dyDescent="0.25">
      <c r="A10" s="6" t="s">
        <v>21</v>
      </c>
      <c r="B10" s="7" t="s">
        <v>22</v>
      </c>
      <c r="C10" s="109" t="s">
        <v>23</v>
      </c>
      <c r="D10" s="110"/>
      <c r="E10" s="7" t="s">
        <v>24</v>
      </c>
      <c r="F10" s="8" t="s">
        <v>25</v>
      </c>
      <c r="G10" s="9" t="s">
        <v>26</v>
      </c>
      <c r="H10" s="99" t="s">
        <v>27</v>
      </c>
      <c r="I10" s="100"/>
      <c r="J10" s="101"/>
      <c r="K10" s="10" t="s">
        <v>28</v>
      </c>
      <c r="BK10" s="11" t="s">
        <v>29</v>
      </c>
      <c r="BL10" s="12" t="s">
        <v>30</v>
      </c>
      <c r="BW10" s="12" t="s">
        <v>31</v>
      </c>
    </row>
    <row r="11" spans="1:76" x14ac:dyDescent="0.25">
      <c r="A11" s="13" t="s">
        <v>32</v>
      </c>
      <c r="B11" s="14" t="s">
        <v>32</v>
      </c>
      <c r="C11" s="97" t="s">
        <v>33</v>
      </c>
      <c r="D11" s="98"/>
      <c r="E11" s="14" t="s">
        <v>32</v>
      </c>
      <c r="F11" s="14" t="s">
        <v>32</v>
      </c>
      <c r="G11" s="15" t="s">
        <v>34</v>
      </c>
      <c r="H11" s="16" t="s">
        <v>35</v>
      </c>
      <c r="I11" s="17" t="s">
        <v>36</v>
      </c>
      <c r="J11" s="18" t="s">
        <v>37</v>
      </c>
      <c r="K11" s="19" t="s">
        <v>38</v>
      </c>
      <c r="Z11" s="11" t="s">
        <v>39</v>
      </c>
      <c r="AA11" s="11" t="s">
        <v>40</v>
      </c>
      <c r="AB11" s="11" t="s">
        <v>41</v>
      </c>
      <c r="AC11" s="11" t="s">
        <v>42</v>
      </c>
      <c r="AD11" s="11" t="s">
        <v>43</v>
      </c>
      <c r="AE11" s="11" t="s">
        <v>44</v>
      </c>
      <c r="AF11" s="11" t="s">
        <v>45</v>
      </c>
      <c r="AG11" s="11" t="s">
        <v>46</v>
      </c>
      <c r="AH11" s="11" t="s">
        <v>47</v>
      </c>
      <c r="BH11" s="11" t="s">
        <v>48</v>
      </c>
      <c r="BI11" s="11" t="s">
        <v>49</v>
      </c>
      <c r="BJ11" s="11" t="s">
        <v>50</v>
      </c>
    </row>
    <row r="12" spans="1:76" x14ac:dyDescent="0.25">
      <c r="A12" s="20" t="s">
        <v>51</v>
      </c>
      <c r="B12" s="21" t="s">
        <v>51</v>
      </c>
      <c r="C12" s="102" t="s">
        <v>52</v>
      </c>
      <c r="D12" s="103"/>
      <c r="E12" s="22" t="s">
        <v>32</v>
      </c>
      <c r="F12" s="22" t="s">
        <v>32</v>
      </c>
      <c r="G12" s="22" t="s">
        <v>32</v>
      </c>
      <c r="H12" s="23">
        <f>H13+H29+H36+H52+H67+H110+H140+H154+H169+H182+H210+H213</f>
        <v>0</v>
      </c>
      <c r="I12" s="23">
        <f>I13+I29+I36+I52+I67+I110+I140+I154+I169+I182+I210+I213</f>
        <v>0</v>
      </c>
      <c r="J12" s="23">
        <f>J13+J29+J36+J52+J67+J110+J140+J154+J169+J182+J210+J213</f>
        <v>0</v>
      </c>
      <c r="K12" s="24" t="s">
        <v>51</v>
      </c>
    </row>
    <row r="13" spans="1:76" x14ac:dyDescent="0.25">
      <c r="A13" s="25" t="s">
        <v>51</v>
      </c>
      <c r="B13" s="26" t="s">
        <v>53</v>
      </c>
      <c r="C13" s="93" t="s">
        <v>54</v>
      </c>
      <c r="D13" s="94"/>
      <c r="E13" s="27" t="s">
        <v>32</v>
      </c>
      <c r="F13" s="27" t="s">
        <v>32</v>
      </c>
      <c r="G13" s="27" t="s">
        <v>32</v>
      </c>
      <c r="H13" s="1">
        <f>SUM(H14:H27)</f>
        <v>0</v>
      </c>
      <c r="I13" s="1">
        <f>SUM(I14:I27)</f>
        <v>0</v>
      </c>
      <c r="J13" s="1">
        <f>SUM(J14:J27)</f>
        <v>0</v>
      </c>
      <c r="K13" s="28" t="s">
        <v>51</v>
      </c>
      <c r="AI13" s="11" t="s">
        <v>55</v>
      </c>
      <c r="AS13" s="1">
        <f>SUM(AJ14:AJ27)</f>
        <v>0</v>
      </c>
      <c r="AT13" s="1">
        <f>SUM(AK14:AK27)</f>
        <v>0</v>
      </c>
      <c r="AU13" s="1">
        <f>SUM(AL14:AL27)</f>
        <v>0</v>
      </c>
    </row>
    <row r="14" spans="1:76" x14ac:dyDescent="0.25">
      <c r="A14" s="2" t="s">
        <v>56</v>
      </c>
      <c r="B14" s="3" t="s">
        <v>57</v>
      </c>
      <c r="C14" s="84" t="s">
        <v>58</v>
      </c>
      <c r="D14" s="85"/>
      <c r="E14" s="3" t="s">
        <v>59</v>
      </c>
      <c r="F14" s="29">
        <v>85.53</v>
      </c>
      <c r="G14" s="29">
        <v>0</v>
      </c>
      <c r="H14" s="29">
        <f>F14*AO14</f>
        <v>0</v>
      </c>
      <c r="I14" s="29">
        <f>F14*AP14</f>
        <v>0</v>
      </c>
      <c r="J14" s="29">
        <f>F14*G14</f>
        <v>0</v>
      </c>
      <c r="K14" s="30" t="s">
        <v>60</v>
      </c>
      <c r="Z14" s="29">
        <f>IF(AQ14="5",BJ14,0)</f>
        <v>0</v>
      </c>
      <c r="AB14" s="29">
        <f>IF(AQ14="1",BH14,0)</f>
        <v>0</v>
      </c>
      <c r="AC14" s="29">
        <f>IF(AQ14="1",BI14,0)</f>
        <v>0</v>
      </c>
      <c r="AD14" s="29">
        <f>IF(AQ14="7",BH14,0)</f>
        <v>0</v>
      </c>
      <c r="AE14" s="29">
        <f>IF(AQ14="7",BI14,0)</f>
        <v>0</v>
      </c>
      <c r="AF14" s="29">
        <f>IF(AQ14="2",BH14,0)</f>
        <v>0</v>
      </c>
      <c r="AG14" s="29">
        <f>IF(AQ14="2",BI14,0)</f>
        <v>0</v>
      </c>
      <c r="AH14" s="29">
        <f>IF(AQ14="0",BJ14,0)</f>
        <v>0</v>
      </c>
      <c r="AI14" s="11" t="s">
        <v>55</v>
      </c>
      <c r="AJ14" s="29">
        <f>IF(AN14=0,J14,0)</f>
        <v>0</v>
      </c>
      <c r="AK14" s="29">
        <f>IF(AN14=12,J14,0)</f>
        <v>0</v>
      </c>
      <c r="AL14" s="29">
        <f>IF(AN14=21,J14,0)</f>
        <v>0</v>
      </c>
      <c r="AN14" s="29">
        <v>21</v>
      </c>
      <c r="AO14" s="29">
        <f>G14*0.341955259</f>
        <v>0</v>
      </c>
      <c r="AP14" s="29">
        <f>G14*(1-0.341955259)</f>
        <v>0</v>
      </c>
      <c r="AQ14" s="31" t="s">
        <v>56</v>
      </c>
      <c r="AV14" s="29">
        <f>AW14+AX14</f>
        <v>0</v>
      </c>
      <c r="AW14" s="29">
        <f>F14*AO14</f>
        <v>0</v>
      </c>
      <c r="AX14" s="29">
        <f>F14*AP14</f>
        <v>0</v>
      </c>
      <c r="AY14" s="31" t="s">
        <v>61</v>
      </c>
      <c r="AZ14" s="31" t="s">
        <v>62</v>
      </c>
      <c r="BA14" s="11" t="s">
        <v>63</v>
      </c>
      <c r="BC14" s="29">
        <f>AW14+AX14</f>
        <v>0</v>
      </c>
      <c r="BD14" s="29">
        <f>G14/(100-BE14)*100</f>
        <v>0</v>
      </c>
      <c r="BE14" s="29">
        <v>0</v>
      </c>
      <c r="BF14" s="29">
        <f>14</f>
        <v>14</v>
      </c>
      <c r="BH14" s="29">
        <f>F14*AO14</f>
        <v>0</v>
      </c>
      <c r="BI14" s="29">
        <f>F14*AP14</f>
        <v>0</v>
      </c>
      <c r="BJ14" s="29">
        <f>F14*G14</f>
        <v>0</v>
      </c>
      <c r="BK14" s="29"/>
      <c r="BL14" s="29">
        <v>61</v>
      </c>
      <c r="BW14" s="29">
        <v>21</v>
      </c>
      <c r="BX14" s="5" t="s">
        <v>58</v>
      </c>
    </row>
    <row r="15" spans="1:76" ht="13.5" customHeight="1" x14ac:dyDescent="0.25">
      <c r="A15" s="32"/>
      <c r="C15" s="86" t="s">
        <v>64</v>
      </c>
      <c r="D15" s="87"/>
      <c r="E15" s="87"/>
      <c r="F15" s="87"/>
      <c r="G15" s="87"/>
      <c r="H15" s="87"/>
      <c r="I15" s="87"/>
      <c r="J15" s="87"/>
      <c r="K15" s="88"/>
    </row>
    <row r="16" spans="1:76" x14ac:dyDescent="0.25">
      <c r="A16" s="32"/>
      <c r="C16" s="34" t="s">
        <v>65</v>
      </c>
      <c r="D16" s="34" t="s">
        <v>66</v>
      </c>
      <c r="F16" s="35">
        <v>59.88</v>
      </c>
      <c r="K16" s="36"/>
    </row>
    <row r="17" spans="1:76" x14ac:dyDescent="0.25">
      <c r="A17" s="32"/>
      <c r="C17" s="34" t="s">
        <v>67</v>
      </c>
      <c r="D17" s="34" t="s">
        <v>68</v>
      </c>
      <c r="F17" s="35">
        <v>25.65</v>
      </c>
      <c r="K17" s="36"/>
    </row>
    <row r="18" spans="1:76" x14ac:dyDescent="0.25">
      <c r="A18" s="32"/>
      <c r="B18" s="37" t="s">
        <v>69</v>
      </c>
      <c r="C18" s="86" t="s">
        <v>70</v>
      </c>
      <c r="D18" s="87"/>
      <c r="E18" s="87"/>
      <c r="F18" s="87"/>
      <c r="G18" s="87"/>
      <c r="H18" s="87"/>
      <c r="I18" s="87"/>
      <c r="J18" s="87"/>
      <c r="K18" s="88"/>
      <c r="BX18" s="33" t="s">
        <v>70</v>
      </c>
    </row>
    <row r="19" spans="1:76" x14ac:dyDescent="0.25">
      <c r="A19" s="2" t="s">
        <v>71</v>
      </c>
      <c r="B19" s="3" t="s">
        <v>72</v>
      </c>
      <c r="C19" s="84" t="s">
        <v>73</v>
      </c>
      <c r="D19" s="85"/>
      <c r="E19" s="3" t="s">
        <v>59</v>
      </c>
      <c r="F19" s="29">
        <v>25.65</v>
      </c>
      <c r="G19" s="29">
        <v>0</v>
      </c>
      <c r="H19" s="29">
        <f>F19*AO19</f>
        <v>0</v>
      </c>
      <c r="I19" s="29">
        <f>F19*AP19</f>
        <v>0</v>
      </c>
      <c r="J19" s="29">
        <f>F19*G19</f>
        <v>0</v>
      </c>
      <c r="K19" s="30" t="s">
        <v>60</v>
      </c>
      <c r="Z19" s="29">
        <f>IF(AQ19="5",BJ19,0)</f>
        <v>0</v>
      </c>
      <c r="AB19" s="29">
        <f>IF(AQ19="1",BH19,0)</f>
        <v>0</v>
      </c>
      <c r="AC19" s="29">
        <f>IF(AQ19="1",BI19,0)</f>
        <v>0</v>
      </c>
      <c r="AD19" s="29">
        <f>IF(AQ19="7",BH19,0)</f>
        <v>0</v>
      </c>
      <c r="AE19" s="29">
        <f>IF(AQ19="7",BI19,0)</f>
        <v>0</v>
      </c>
      <c r="AF19" s="29">
        <f>IF(AQ19="2",BH19,0)</f>
        <v>0</v>
      </c>
      <c r="AG19" s="29">
        <f>IF(AQ19="2",BI19,0)</f>
        <v>0</v>
      </c>
      <c r="AH19" s="29">
        <f>IF(AQ19="0",BJ19,0)</f>
        <v>0</v>
      </c>
      <c r="AI19" s="11" t="s">
        <v>55</v>
      </c>
      <c r="AJ19" s="29">
        <f>IF(AN19=0,J19,0)</f>
        <v>0</v>
      </c>
      <c r="AK19" s="29">
        <f>IF(AN19=12,J19,0)</f>
        <v>0</v>
      </c>
      <c r="AL19" s="29">
        <f>IF(AN19=21,J19,0)</f>
        <v>0</v>
      </c>
      <c r="AN19" s="29">
        <v>21</v>
      </c>
      <c r="AO19" s="29">
        <f>G19*0.442594612</f>
        <v>0</v>
      </c>
      <c r="AP19" s="29">
        <f>G19*(1-0.442594612)</f>
        <v>0</v>
      </c>
      <c r="AQ19" s="31" t="s">
        <v>56</v>
      </c>
      <c r="AV19" s="29">
        <f>AW19+AX19</f>
        <v>0</v>
      </c>
      <c r="AW19" s="29">
        <f>F19*AO19</f>
        <v>0</v>
      </c>
      <c r="AX19" s="29">
        <f>F19*AP19</f>
        <v>0</v>
      </c>
      <c r="AY19" s="31" t="s">
        <v>61</v>
      </c>
      <c r="AZ19" s="31" t="s">
        <v>62</v>
      </c>
      <c r="BA19" s="11" t="s">
        <v>63</v>
      </c>
      <c r="BC19" s="29">
        <f>AW19+AX19</f>
        <v>0</v>
      </c>
      <c r="BD19" s="29">
        <f>G19/(100-BE19)*100</f>
        <v>0</v>
      </c>
      <c r="BE19" s="29">
        <v>0</v>
      </c>
      <c r="BF19" s="29">
        <f>19</f>
        <v>19</v>
      </c>
      <c r="BH19" s="29">
        <f>F19*AO19</f>
        <v>0</v>
      </c>
      <c r="BI19" s="29">
        <f>F19*AP19</f>
        <v>0</v>
      </c>
      <c r="BJ19" s="29">
        <f>F19*G19</f>
        <v>0</v>
      </c>
      <c r="BK19" s="29"/>
      <c r="BL19" s="29">
        <v>61</v>
      </c>
      <c r="BW19" s="29">
        <v>21</v>
      </c>
      <c r="BX19" s="5" t="s">
        <v>73</v>
      </c>
    </row>
    <row r="20" spans="1:76" x14ac:dyDescent="0.25">
      <c r="A20" s="32"/>
      <c r="C20" s="34" t="s">
        <v>74</v>
      </c>
      <c r="D20" s="34" t="s">
        <v>75</v>
      </c>
      <c r="F20" s="35">
        <v>25.65</v>
      </c>
      <c r="K20" s="36"/>
    </row>
    <row r="21" spans="1:76" x14ac:dyDescent="0.25">
      <c r="A21" s="32"/>
      <c r="B21" s="37" t="s">
        <v>69</v>
      </c>
      <c r="C21" s="86" t="s">
        <v>76</v>
      </c>
      <c r="D21" s="87"/>
      <c r="E21" s="87"/>
      <c r="F21" s="87"/>
      <c r="G21" s="87"/>
      <c r="H21" s="87"/>
      <c r="I21" s="87"/>
      <c r="J21" s="87"/>
      <c r="K21" s="88"/>
      <c r="BX21" s="33" t="s">
        <v>76</v>
      </c>
    </row>
    <row r="22" spans="1:76" x14ac:dyDescent="0.25">
      <c r="A22" s="2" t="s">
        <v>77</v>
      </c>
      <c r="B22" s="3" t="s">
        <v>78</v>
      </c>
      <c r="C22" s="84" t="s">
        <v>79</v>
      </c>
      <c r="D22" s="85"/>
      <c r="E22" s="3" t="s">
        <v>59</v>
      </c>
      <c r="F22" s="29">
        <v>25.65</v>
      </c>
      <c r="G22" s="29">
        <v>0</v>
      </c>
      <c r="H22" s="29">
        <f>F22*AO22</f>
        <v>0</v>
      </c>
      <c r="I22" s="29">
        <f>F22*AP22</f>
        <v>0</v>
      </c>
      <c r="J22" s="29">
        <f>F22*G22</f>
        <v>0</v>
      </c>
      <c r="K22" s="30" t="s">
        <v>60</v>
      </c>
      <c r="Z22" s="29">
        <f>IF(AQ22="5",BJ22,0)</f>
        <v>0</v>
      </c>
      <c r="AB22" s="29">
        <f>IF(AQ22="1",BH22,0)</f>
        <v>0</v>
      </c>
      <c r="AC22" s="29">
        <f>IF(AQ22="1",BI22,0)</f>
        <v>0</v>
      </c>
      <c r="AD22" s="29">
        <f>IF(AQ22="7",BH22,0)</f>
        <v>0</v>
      </c>
      <c r="AE22" s="29">
        <f>IF(AQ22="7",BI22,0)</f>
        <v>0</v>
      </c>
      <c r="AF22" s="29">
        <f>IF(AQ22="2",BH22,0)</f>
        <v>0</v>
      </c>
      <c r="AG22" s="29">
        <f>IF(AQ22="2",BI22,0)</f>
        <v>0</v>
      </c>
      <c r="AH22" s="29">
        <f>IF(AQ22="0",BJ22,0)</f>
        <v>0</v>
      </c>
      <c r="AI22" s="11" t="s">
        <v>55</v>
      </c>
      <c r="AJ22" s="29">
        <f>IF(AN22=0,J22,0)</f>
        <v>0</v>
      </c>
      <c r="AK22" s="29">
        <f>IF(AN22=12,J22,0)</f>
        <v>0</v>
      </c>
      <c r="AL22" s="29">
        <f>IF(AN22=21,J22,0)</f>
        <v>0</v>
      </c>
      <c r="AN22" s="29">
        <v>21</v>
      </c>
      <c r="AO22" s="29">
        <f>G22*0.315221963</f>
        <v>0</v>
      </c>
      <c r="AP22" s="29">
        <f>G22*(1-0.315221963)</f>
        <v>0</v>
      </c>
      <c r="AQ22" s="31" t="s">
        <v>56</v>
      </c>
      <c r="AV22" s="29">
        <f>AW22+AX22</f>
        <v>0</v>
      </c>
      <c r="AW22" s="29">
        <f>F22*AO22</f>
        <v>0</v>
      </c>
      <c r="AX22" s="29">
        <f>F22*AP22</f>
        <v>0</v>
      </c>
      <c r="AY22" s="31" t="s">
        <v>61</v>
      </c>
      <c r="AZ22" s="31" t="s">
        <v>62</v>
      </c>
      <c r="BA22" s="11" t="s">
        <v>63</v>
      </c>
      <c r="BC22" s="29">
        <f>AW22+AX22</f>
        <v>0</v>
      </c>
      <c r="BD22" s="29">
        <f>G22/(100-BE22)*100</f>
        <v>0</v>
      </c>
      <c r="BE22" s="29">
        <v>0</v>
      </c>
      <c r="BF22" s="29">
        <f>22</f>
        <v>22</v>
      </c>
      <c r="BH22" s="29">
        <f>F22*AO22</f>
        <v>0</v>
      </c>
      <c r="BI22" s="29">
        <f>F22*AP22</f>
        <v>0</v>
      </c>
      <c r="BJ22" s="29">
        <f>F22*G22</f>
        <v>0</v>
      </c>
      <c r="BK22" s="29"/>
      <c r="BL22" s="29">
        <v>61</v>
      </c>
      <c r="BW22" s="29">
        <v>21</v>
      </c>
      <c r="BX22" s="5" t="s">
        <v>79</v>
      </c>
    </row>
    <row r="23" spans="1:76" x14ac:dyDescent="0.25">
      <c r="A23" s="32"/>
      <c r="C23" s="34" t="s">
        <v>80</v>
      </c>
      <c r="D23" s="34" t="s">
        <v>75</v>
      </c>
      <c r="F23" s="35">
        <v>25.65</v>
      </c>
      <c r="K23" s="36"/>
    </row>
    <row r="24" spans="1:76" x14ac:dyDescent="0.25">
      <c r="A24" s="32"/>
      <c r="B24" s="37" t="s">
        <v>69</v>
      </c>
      <c r="C24" s="86" t="s">
        <v>70</v>
      </c>
      <c r="D24" s="87"/>
      <c r="E24" s="87"/>
      <c r="F24" s="87"/>
      <c r="G24" s="87"/>
      <c r="H24" s="87"/>
      <c r="I24" s="87"/>
      <c r="J24" s="87"/>
      <c r="K24" s="88"/>
      <c r="BX24" s="33" t="s">
        <v>70</v>
      </c>
    </row>
    <row r="25" spans="1:76" x14ac:dyDescent="0.25">
      <c r="A25" s="2" t="s">
        <v>81</v>
      </c>
      <c r="B25" s="3" t="s">
        <v>82</v>
      </c>
      <c r="C25" s="84" t="s">
        <v>83</v>
      </c>
      <c r="D25" s="85"/>
      <c r="E25" s="3" t="s">
        <v>84</v>
      </c>
      <c r="F25" s="29">
        <v>742.64</v>
      </c>
      <c r="G25" s="29">
        <v>0</v>
      </c>
      <c r="H25" s="29">
        <f>F25*AO25</f>
        <v>0</v>
      </c>
      <c r="I25" s="29">
        <f>F25*AP25</f>
        <v>0</v>
      </c>
      <c r="J25" s="29">
        <f>F25*G25</f>
        <v>0</v>
      </c>
      <c r="K25" s="30" t="s">
        <v>51</v>
      </c>
      <c r="Z25" s="29">
        <f>IF(AQ25="5",BJ25,0)</f>
        <v>0</v>
      </c>
      <c r="AB25" s="29">
        <f>IF(AQ25="1",BH25,0)</f>
        <v>0</v>
      </c>
      <c r="AC25" s="29">
        <f>IF(AQ25="1",BI25,0)</f>
        <v>0</v>
      </c>
      <c r="AD25" s="29">
        <f>IF(AQ25="7",BH25,0)</f>
        <v>0</v>
      </c>
      <c r="AE25" s="29">
        <f>IF(AQ25="7",BI25,0)</f>
        <v>0</v>
      </c>
      <c r="AF25" s="29">
        <f>IF(AQ25="2",BH25,0)</f>
        <v>0</v>
      </c>
      <c r="AG25" s="29">
        <f>IF(AQ25="2",BI25,0)</f>
        <v>0</v>
      </c>
      <c r="AH25" s="29">
        <f>IF(AQ25="0",BJ25,0)</f>
        <v>0</v>
      </c>
      <c r="AI25" s="11" t="s">
        <v>55</v>
      </c>
      <c r="AJ25" s="29">
        <f>IF(AN25=0,J25,0)</f>
        <v>0</v>
      </c>
      <c r="AK25" s="29">
        <f>IF(AN25=12,J25,0)</f>
        <v>0</v>
      </c>
      <c r="AL25" s="29">
        <f>IF(AN25=21,J25,0)</f>
        <v>0</v>
      </c>
      <c r="AN25" s="29">
        <v>21</v>
      </c>
      <c r="AO25" s="29">
        <f>G25*0</f>
        <v>0</v>
      </c>
      <c r="AP25" s="29">
        <f>G25*(1-0)</f>
        <v>0</v>
      </c>
      <c r="AQ25" s="31" t="s">
        <v>56</v>
      </c>
      <c r="AV25" s="29">
        <f>AW25+AX25</f>
        <v>0</v>
      </c>
      <c r="AW25" s="29">
        <f>F25*AO25</f>
        <v>0</v>
      </c>
      <c r="AX25" s="29">
        <f>F25*AP25</f>
        <v>0</v>
      </c>
      <c r="AY25" s="31" t="s">
        <v>61</v>
      </c>
      <c r="AZ25" s="31" t="s">
        <v>62</v>
      </c>
      <c r="BA25" s="11" t="s">
        <v>63</v>
      </c>
      <c r="BC25" s="29">
        <f>AW25+AX25</f>
        <v>0</v>
      </c>
      <c r="BD25" s="29">
        <f>G25/(100-BE25)*100</f>
        <v>0</v>
      </c>
      <c r="BE25" s="29">
        <v>0</v>
      </c>
      <c r="BF25" s="29">
        <f>25</f>
        <v>25</v>
      </c>
      <c r="BH25" s="29">
        <f>F25*AO25</f>
        <v>0</v>
      </c>
      <c r="BI25" s="29">
        <f>F25*AP25</f>
        <v>0</v>
      </c>
      <c r="BJ25" s="29">
        <f>F25*G25</f>
        <v>0</v>
      </c>
      <c r="BK25" s="29"/>
      <c r="BL25" s="29">
        <v>61</v>
      </c>
      <c r="BW25" s="29">
        <v>21</v>
      </c>
      <c r="BX25" s="5" t="s">
        <v>83</v>
      </c>
    </row>
    <row r="26" spans="1:76" x14ac:dyDescent="0.25">
      <c r="A26" s="32"/>
      <c r="C26" s="34" t="s">
        <v>85</v>
      </c>
      <c r="D26" s="34" t="s">
        <v>86</v>
      </c>
      <c r="F26" s="35">
        <v>742.64</v>
      </c>
      <c r="K26" s="36"/>
    </row>
    <row r="27" spans="1:76" x14ac:dyDescent="0.25">
      <c r="A27" s="2" t="s">
        <v>87</v>
      </c>
      <c r="B27" s="3" t="s">
        <v>88</v>
      </c>
      <c r="C27" s="84" t="s">
        <v>89</v>
      </c>
      <c r="D27" s="85"/>
      <c r="E27" s="3" t="s">
        <v>84</v>
      </c>
      <c r="F27" s="29">
        <v>371.32</v>
      </c>
      <c r="G27" s="29">
        <v>0</v>
      </c>
      <c r="H27" s="29">
        <f>F27*AO27</f>
        <v>0</v>
      </c>
      <c r="I27" s="29">
        <f>F27*AP27</f>
        <v>0</v>
      </c>
      <c r="J27" s="29">
        <f>F27*G27</f>
        <v>0</v>
      </c>
      <c r="K27" s="30" t="s">
        <v>60</v>
      </c>
      <c r="Z27" s="29">
        <f>IF(AQ27="5",BJ27,0)</f>
        <v>0</v>
      </c>
      <c r="AB27" s="29">
        <f>IF(AQ27="1",BH27,0)</f>
        <v>0</v>
      </c>
      <c r="AC27" s="29">
        <f>IF(AQ27="1",BI27,0)</f>
        <v>0</v>
      </c>
      <c r="AD27" s="29">
        <f>IF(AQ27="7",BH27,0)</f>
        <v>0</v>
      </c>
      <c r="AE27" s="29">
        <f>IF(AQ27="7",BI27,0)</f>
        <v>0</v>
      </c>
      <c r="AF27" s="29">
        <f>IF(AQ27="2",BH27,0)</f>
        <v>0</v>
      </c>
      <c r="AG27" s="29">
        <f>IF(AQ27="2",BI27,0)</f>
        <v>0</v>
      </c>
      <c r="AH27" s="29">
        <f>IF(AQ27="0",BJ27,0)</f>
        <v>0</v>
      </c>
      <c r="AI27" s="11" t="s">
        <v>55</v>
      </c>
      <c r="AJ27" s="29">
        <f>IF(AN27=0,J27,0)</f>
        <v>0</v>
      </c>
      <c r="AK27" s="29">
        <f>IF(AN27=12,J27,0)</f>
        <v>0</v>
      </c>
      <c r="AL27" s="29">
        <f>IF(AN27=21,J27,0)</f>
        <v>0</v>
      </c>
      <c r="AN27" s="29">
        <v>21</v>
      </c>
      <c r="AO27" s="29">
        <f>G27*0.054845422</f>
        <v>0</v>
      </c>
      <c r="AP27" s="29">
        <f>G27*(1-0.054845422)</f>
        <v>0</v>
      </c>
      <c r="AQ27" s="31" t="s">
        <v>56</v>
      </c>
      <c r="AV27" s="29">
        <f>AW27+AX27</f>
        <v>0</v>
      </c>
      <c r="AW27" s="29">
        <f>F27*AO27</f>
        <v>0</v>
      </c>
      <c r="AX27" s="29">
        <f>F27*AP27</f>
        <v>0</v>
      </c>
      <c r="AY27" s="31" t="s">
        <v>61</v>
      </c>
      <c r="AZ27" s="31" t="s">
        <v>62</v>
      </c>
      <c r="BA27" s="11" t="s">
        <v>63</v>
      </c>
      <c r="BC27" s="29">
        <f>AW27+AX27</f>
        <v>0</v>
      </c>
      <c r="BD27" s="29">
        <f>G27/(100-BE27)*100</f>
        <v>0</v>
      </c>
      <c r="BE27" s="29">
        <v>0</v>
      </c>
      <c r="BF27" s="29">
        <f>27</f>
        <v>27</v>
      </c>
      <c r="BH27" s="29">
        <f>F27*AO27</f>
        <v>0</v>
      </c>
      <c r="BI27" s="29">
        <f>F27*AP27</f>
        <v>0</v>
      </c>
      <c r="BJ27" s="29">
        <f>F27*G27</f>
        <v>0</v>
      </c>
      <c r="BK27" s="29"/>
      <c r="BL27" s="29">
        <v>61</v>
      </c>
      <c r="BW27" s="29">
        <v>21</v>
      </c>
      <c r="BX27" s="5" t="s">
        <v>89</v>
      </c>
    </row>
    <row r="28" spans="1:76" x14ac:dyDescent="0.25">
      <c r="A28" s="32"/>
      <c r="C28" s="34" t="s">
        <v>90</v>
      </c>
      <c r="D28" s="34" t="s">
        <v>51</v>
      </c>
      <c r="F28" s="35">
        <v>371.32</v>
      </c>
      <c r="K28" s="36"/>
    </row>
    <row r="29" spans="1:76" x14ac:dyDescent="0.25">
      <c r="A29" s="25" t="s">
        <v>51</v>
      </c>
      <c r="B29" s="26" t="s">
        <v>91</v>
      </c>
      <c r="C29" s="93" t="s">
        <v>92</v>
      </c>
      <c r="D29" s="94"/>
      <c r="E29" s="27" t="s">
        <v>32</v>
      </c>
      <c r="F29" s="27" t="s">
        <v>32</v>
      </c>
      <c r="G29" s="27" t="s">
        <v>32</v>
      </c>
      <c r="H29" s="1">
        <f>SUM(H30:H33)</f>
        <v>0</v>
      </c>
      <c r="I29" s="1">
        <f>SUM(I30:I33)</f>
        <v>0</v>
      </c>
      <c r="J29" s="1">
        <f>SUM(J30:J33)</f>
        <v>0</v>
      </c>
      <c r="K29" s="28" t="s">
        <v>51</v>
      </c>
      <c r="AI29" s="11" t="s">
        <v>55</v>
      </c>
      <c r="AS29" s="1">
        <f>SUM(AJ30:AJ33)</f>
        <v>0</v>
      </c>
      <c r="AT29" s="1">
        <f>SUM(AK30:AK33)</f>
        <v>0</v>
      </c>
      <c r="AU29" s="1">
        <f>SUM(AL30:AL33)</f>
        <v>0</v>
      </c>
    </row>
    <row r="30" spans="1:76" x14ac:dyDescent="0.25">
      <c r="A30" s="2" t="s">
        <v>93</v>
      </c>
      <c r="B30" s="3" t="s">
        <v>94</v>
      </c>
      <c r="C30" s="84" t="s">
        <v>95</v>
      </c>
      <c r="D30" s="85"/>
      <c r="E30" s="3" t="s">
        <v>59</v>
      </c>
      <c r="F30" s="29">
        <v>21.6</v>
      </c>
      <c r="G30" s="29">
        <v>0</v>
      </c>
      <c r="H30" s="29">
        <f>F30*AO30</f>
        <v>0</v>
      </c>
      <c r="I30" s="29">
        <f>F30*AP30</f>
        <v>0</v>
      </c>
      <c r="J30" s="29">
        <f>F30*G30</f>
        <v>0</v>
      </c>
      <c r="K30" s="30" t="s">
        <v>60</v>
      </c>
      <c r="Z30" s="29">
        <f>IF(AQ30="5",BJ30,0)</f>
        <v>0</v>
      </c>
      <c r="AB30" s="29">
        <f>IF(AQ30="1",BH30,0)</f>
        <v>0</v>
      </c>
      <c r="AC30" s="29">
        <f>IF(AQ30="1",BI30,0)</f>
        <v>0</v>
      </c>
      <c r="AD30" s="29">
        <f>IF(AQ30="7",BH30,0)</f>
        <v>0</v>
      </c>
      <c r="AE30" s="29">
        <f>IF(AQ30="7",BI30,0)</f>
        <v>0</v>
      </c>
      <c r="AF30" s="29">
        <f>IF(AQ30="2",BH30,0)</f>
        <v>0</v>
      </c>
      <c r="AG30" s="29">
        <f>IF(AQ30="2",BI30,0)</f>
        <v>0</v>
      </c>
      <c r="AH30" s="29">
        <f>IF(AQ30="0",BJ30,0)</f>
        <v>0</v>
      </c>
      <c r="AI30" s="11" t="s">
        <v>55</v>
      </c>
      <c r="AJ30" s="29">
        <f>IF(AN30=0,J30,0)</f>
        <v>0</v>
      </c>
      <c r="AK30" s="29">
        <f>IF(AN30=12,J30,0)</f>
        <v>0</v>
      </c>
      <c r="AL30" s="29">
        <f>IF(AN30=21,J30,0)</f>
        <v>0</v>
      </c>
      <c r="AN30" s="29">
        <v>21</v>
      </c>
      <c r="AO30" s="29">
        <f>G30*0.361710335</f>
        <v>0</v>
      </c>
      <c r="AP30" s="29">
        <f>G30*(1-0.361710335)</f>
        <v>0</v>
      </c>
      <c r="AQ30" s="31" t="s">
        <v>56</v>
      </c>
      <c r="AV30" s="29">
        <f>AW30+AX30</f>
        <v>0</v>
      </c>
      <c r="AW30" s="29">
        <f>F30*AO30</f>
        <v>0</v>
      </c>
      <c r="AX30" s="29">
        <f>F30*AP30</f>
        <v>0</v>
      </c>
      <c r="AY30" s="31" t="s">
        <v>96</v>
      </c>
      <c r="AZ30" s="31" t="s">
        <v>62</v>
      </c>
      <c r="BA30" s="11" t="s">
        <v>63</v>
      </c>
      <c r="BC30" s="29">
        <f>AW30+AX30</f>
        <v>0</v>
      </c>
      <c r="BD30" s="29">
        <f>G30/(100-BE30)*100</f>
        <v>0</v>
      </c>
      <c r="BE30" s="29">
        <v>0</v>
      </c>
      <c r="BF30" s="29">
        <f>30</f>
        <v>30</v>
      </c>
      <c r="BH30" s="29">
        <f>F30*AO30</f>
        <v>0</v>
      </c>
      <c r="BI30" s="29">
        <f>F30*AP30</f>
        <v>0</v>
      </c>
      <c r="BJ30" s="29">
        <f>F30*G30</f>
        <v>0</v>
      </c>
      <c r="BK30" s="29"/>
      <c r="BL30" s="29">
        <v>62</v>
      </c>
      <c r="BW30" s="29">
        <v>21</v>
      </c>
      <c r="BX30" s="5" t="s">
        <v>95</v>
      </c>
    </row>
    <row r="31" spans="1:76" x14ac:dyDescent="0.25">
      <c r="A31" s="32"/>
      <c r="C31" s="34" t="s">
        <v>97</v>
      </c>
      <c r="D31" s="34" t="s">
        <v>51</v>
      </c>
      <c r="F31" s="35">
        <v>21.6</v>
      </c>
      <c r="K31" s="36"/>
    </row>
    <row r="32" spans="1:76" ht="25.5" x14ac:dyDescent="0.25">
      <c r="A32" s="32"/>
      <c r="B32" s="37" t="s">
        <v>69</v>
      </c>
      <c r="C32" s="86" t="s">
        <v>98</v>
      </c>
      <c r="D32" s="87"/>
      <c r="E32" s="87"/>
      <c r="F32" s="87"/>
      <c r="G32" s="87"/>
      <c r="H32" s="87"/>
      <c r="I32" s="87"/>
      <c r="J32" s="87"/>
      <c r="K32" s="88"/>
      <c r="BX32" s="33" t="s">
        <v>98</v>
      </c>
    </row>
    <row r="33" spans="1:76" x14ac:dyDescent="0.25">
      <c r="A33" s="2" t="s">
        <v>99</v>
      </c>
      <c r="B33" s="3" t="s">
        <v>100</v>
      </c>
      <c r="C33" s="84" t="s">
        <v>101</v>
      </c>
      <c r="D33" s="85"/>
      <c r="E33" s="3" t="s">
        <v>59</v>
      </c>
      <c r="F33" s="29">
        <v>9.2829999999999995</v>
      </c>
      <c r="G33" s="29">
        <v>0</v>
      </c>
      <c r="H33" s="29">
        <f>F33*AO33</f>
        <v>0</v>
      </c>
      <c r="I33" s="29">
        <f>F33*AP33</f>
        <v>0</v>
      </c>
      <c r="J33" s="29">
        <f>F33*G33</f>
        <v>0</v>
      </c>
      <c r="K33" s="30" t="s">
        <v>60</v>
      </c>
      <c r="Z33" s="29">
        <f>IF(AQ33="5",BJ33,0)</f>
        <v>0</v>
      </c>
      <c r="AB33" s="29">
        <f>IF(AQ33="1",BH33,0)</f>
        <v>0</v>
      </c>
      <c r="AC33" s="29">
        <f>IF(AQ33="1",BI33,0)</f>
        <v>0</v>
      </c>
      <c r="AD33" s="29">
        <f>IF(AQ33="7",BH33,0)</f>
        <v>0</v>
      </c>
      <c r="AE33" s="29">
        <f>IF(AQ33="7",BI33,0)</f>
        <v>0</v>
      </c>
      <c r="AF33" s="29">
        <f>IF(AQ33="2",BH33,0)</f>
        <v>0</v>
      </c>
      <c r="AG33" s="29">
        <f>IF(AQ33="2",BI33,0)</f>
        <v>0</v>
      </c>
      <c r="AH33" s="29">
        <f>IF(AQ33="0",BJ33,0)</f>
        <v>0</v>
      </c>
      <c r="AI33" s="11" t="s">
        <v>55</v>
      </c>
      <c r="AJ33" s="29">
        <f>IF(AN33=0,J33,0)</f>
        <v>0</v>
      </c>
      <c r="AK33" s="29">
        <f>IF(AN33=12,J33,0)</f>
        <v>0</v>
      </c>
      <c r="AL33" s="29">
        <f>IF(AN33=21,J33,0)</f>
        <v>0</v>
      </c>
      <c r="AN33" s="29">
        <v>21</v>
      </c>
      <c r="AO33" s="29">
        <f>G33*0.306796361</f>
        <v>0</v>
      </c>
      <c r="AP33" s="29">
        <f>G33*(1-0.306796361)</f>
        <v>0</v>
      </c>
      <c r="AQ33" s="31" t="s">
        <v>56</v>
      </c>
      <c r="AV33" s="29">
        <f>AW33+AX33</f>
        <v>0</v>
      </c>
      <c r="AW33" s="29">
        <f>F33*AO33</f>
        <v>0</v>
      </c>
      <c r="AX33" s="29">
        <f>F33*AP33</f>
        <v>0</v>
      </c>
      <c r="AY33" s="31" t="s">
        <v>96</v>
      </c>
      <c r="AZ33" s="31" t="s">
        <v>62</v>
      </c>
      <c r="BA33" s="11" t="s">
        <v>63</v>
      </c>
      <c r="BC33" s="29">
        <f>AW33+AX33</f>
        <v>0</v>
      </c>
      <c r="BD33" s="29">
        <f>G33/(100-BE33)*100</f>
        <v>0</v>
      </c>
      <c r="BE33" s="29">
        <v>0</v>
      </c>
      <c r="BF33" s="29">
        <f>33</f>
        <v>33</v>
      </c>
      <c r="BH33" s="29">
        <f>F33*AO33</f>
        <v>0</v>
      </c>
      <c r="BI33" s="29">
        <f>F33*AP33</f>
        <v>0</v>
      </c>
      <c r="BJ33" s="29">
        <f>F33*G33</f>
        <v>0</v>
      </c>
      <c r="BK33" s="29"/>
      <c r="BL33" s="29">
        <v>62</v>
      </c>
      <c r="BW33" s="29">
        <v>21</v>
      </c>
      <c r="BX33" s="5" t="s">
        <v>101</v>
      </c>
    </row>
    <row r="34" spans="1:76" x14ac:dyDescent="0.25">
      <c r="A34" s="32"/>
      <c r="C34" s="34" t="s">
        <v>102</v>
      </c>
      <c r="D34" s="34" t="s">
        <v>103</v>
      </c>
      <c r="F34" s="35">
        <v>9.2829999999999995</v>
      </c>
      <c r="K34" s="36"/>
    </row>
    <row r="35" spans="1:76" ht="51" x14ac:dyDescent="0.25">
      <c r="A35" s="32"/>
      <c r="B35" s="37" t="s">
        <v>69</v>
      </c>
      <c r="C35" s="86" t="s">
        <v>104</v>
      </c>
      <c r="D35" s="87"/>
      <c r="E35" s="87"/>
      <c r="F35" s="87"/>
      <c r="G35" s="87"/>
      <c r="H35" s="87"/>
      <c r="I35" s="87"/>
      <c r="J35" s="87"/>
      <c r="K35" s="88"/>
      <c r="BX35" s="33" t="s">
        <v>104</v>
      </c>
    </row>
    <row r="36" spans="1:76" x14ac:dyDescent="0.25">
      <c r="A36" s="25" t="s">
        <v>51</v>
      </c>
      <c r="B36" s="26" t="s">
        <v>105</v>
      </c>
      <c r="C36" s="93" t="s">
        <v>106</v>
      </c>
      <c r="D36" s="94"/>
      <c r="E36" s="27" t="s">
        <v>32</v>
      </c>
      <c r="F36" s="27" t="s">
        <v>32</v>
      </c>
      <c r="G36" s="27" t="s">
        <v>32</v>
      </c>
      <c r="H36" s="1">
        <f>SUM(H37:H49)</f>
        <v>0</v>
      </c>
      <c r="I36" s="1">
        <f>SUM(I37:I49)</f>
        <v>0</v>
      </c>
      <c r="J36" s="1">
        <f>SUM(J37:J49)</f>
        <v>0</v>
      </c>
      <c r="K36" s="28" t="s">
        <v>51</v>
      </c>
      <c r="AI36" s="11" t="s">
        <v>55</v>
      </c>
      <c r="AS36" s="1">
        <f>SUM(AJ37:AJ49)</f>
        <v>0</v>
      </c>
      <c r="AT36" s="1">
        <f>SUM(AK37:AK49)</f>
        <v>0</v>
      </c>
      <c r="AU36" s="1">
        <f>SUM(AL37:AL49)</f>
        <v>0</v>
      </c>
    </row>
    <row r="37" spans="1:76" x14ac:dyDescent="0.25">
      <c r="A37" s="2" t="s">
        <v>107</v>
      </c>
      <c r="B37" s="3" t="s">
        <v>108</v>
      </c>
      <c r="C37" s="84" t="s">
        <v>109</v>
      </c>
      <c r="D37" s="85"/>
      <c r="E37" s="3" t="s">
        <v>84</v>
      </c>
      <c r="F37" s="29">
        <v>78.650000000000006</v>
      </c>
      <c r="G37" s="29">
        <v>0</v>
      </c>
      <c r="H37" s="29">
        <f>F37*AO37</f>
        <v>0</v>
      </c>
      <c r="I37" s="29">
        <f>F37*AP37</f>
        <v>0</v>
      </c>
      <c r="J37" s="29">
        <f>F37*G37</f>
        <v>0</v>
      </c>
      <c r="K37" s="30" t="s">
        <v>60</v>
      </c>
      <c r="Z37" s="29">
        <f>IF(AQ37="5",BJ37,0)</f>
        <v>0</v>
      </c>
      <c r="AB37" s="29">
        <f>IF(AQ37="1",BH37,0)</f>
        <v>0</v>
      </c>
      <c r="AC37" s="29">
        <f>IF(AQ37="1",BI37,0)</f>
        <v>0</v>
      </c>
      <c r="AD37" s="29">
        <f>IF(AQ37="7",BH37,0)</f>
        <v>0</v>
      </c>
      <c r="AE37" s="29">
        <f>IF(AQ37="7",BI37,0)</f>
        <v>0</v>
      </c>
      <c r="AF37" s="29">
        <f>IF(AQ37="2",BH37,0)</f>
        <v>0</v>
      </c>
      <c r="AG37" s="29">
        <f>IF(AQ37="2",BI37,0)</f>
        <v>0</v>
      </c>
      <c r="AH37" s="29">
        <f>IF(AQ37="0",BJ37,0)</f>
        <v>0</v>
      </c>
      <c r="AI37" s="11" t="s">
        <v>55</v>
      </c>
      <c r="AJ37" s="29">
        <f>IF(AN37=0,J37,0)</f>
        <v>0</v>
      </c>
      <c r="AK37" s="29">
        <f>IF(AN37=12,J37,0)</f>
        <v>0</v>
      </c>
      <c r="AL37" s="29">
        <f>IF(AN37=21,J37,0)</f>
        <v>0</v>
      </c>
      <c r="AN37" s="29">
        <v>21</v>
      </c>
      <c r="AO37" s="29">
        <f>G37*0</f>
        <v>0</v>
      </c>
      <c r="AP37" s="29">
        <f>G37*(1-0)</f>
        <v>0</v>
      </c>
      <c r="AQ37" s="31" t="s">
        <v>56</v>
      </c>
      <c r="AV37" s="29">
        <f>AW37+AX37</f>
        <v>0</v>
      </c>
      <c r="AW37" s="29">
        <f>F37*AO37</f>
        <v>0</v>
      </c>
      <c r="AX37" s="29">
        <f>F37*AP37</f>
        <v>0</v>
      </c>
      <c r="AY37" s="31" t="s">
        <v>110</v>
      </c>
      <c r="AZ37" s="31" t="s">
        <v>62</v>
      </c>
      <c r="BA37" s="11" t="s">
        <v>63</v>
      </c>
      <c r="BC37" s="29">
        <f>AW37+AX37</f>
        <v>0</v>
      </c>
      <c r="BD37" s="29">
        <f>G37/(100-BE37)*100</f>
        <v>0</v>
      </c>
      <c r="BE37" s="29">
        <v>0</v>
      </c>
      <c r="BF37" s="29">
        <f>37</f>
        <v>37</v>
      </c>
      <c r="BH37" s="29">
        <f>F37*AO37</f>
        <v>0</v>
      </c>
      <c r="BI37" s="29">
        <f>F37*AP37</f>
        <v>0</v>
      </c>
      <c r="BJ37" s="29">
        <f>F37*G37</f>
        <v>0</v>
      </c>
      <c r="BK37" s="29"/>
      <c r="BL37" s="29">
        <v>64</v>
      </c>
      <c r="BW37" s="29">
        <v>21</v>
      </c>
      <c r="BX37" s="5" t="s">
        <v>109</v>
      </c>
    </row>
    <row r="38" spans="1:76" x14ac:dyDescent="0.25">
      <c r="A38" s="32"/>
      <c r="C38" s="34" t="s">
        <v>111</v>
      </c>
      <c r="D38" s="34" t="s">
        <v>112</v>
      </c>
      <c r="F38" s="35">
        <v>78.650000000000006</v>
      </c>
      <c r="K38" s="36"/>
    </row>
    <row r="39" spans="1:76" x14ac:dyDescent="0.25">
      <c r="A39" s="32"/>
      <c r="B39" s="37" t="s">
        <v>69</v>
      </c>
      <c r="C39" s="86" t="s">
        <v>113</v>
      </c>
      <c r="D39" s="87"/>
      <c r="E39" s="87"/>
      <c r="F39" s="87"/>
      <c r="G39" s="87"/>
      <c r="H39" s="87"/>
      <c r="I39" s="87"/>
      <c r="J39" s="87"/>
      <c r="K39" s="88"/>
      <c r="BX39" s="33" t="s">
        <v>113</v>
      </c>
    </row>
    <row r="40" spans="1:76" x14ac:dyDescent="0.25">
      <c r="A40" s="2" t="s">
        <v>114</v>
      </c>
      <c r="B40" s="3" t="s">
        <v>115</v>
      </c>
      <c r="C40" s="84" t="s">
        <v>116</v>
      </c>
      <c r="D40" s="85"/>
      <c r="E40" s="3" t="s">
        <v>84</v>
      </c>
      <c r="F40" s="29">
        <v>78.650000000000006</v>
      </c>
      <c r="G40" s="29">
        <v>0</v>
      </c>
      <c r="H40" s="29">
        <f>F40*AO40</f>
        <v>0</v>
      </c>
      <c r="I40" s="29">
        <f>F40*AP40</f>
        <v>0</v>
      </c>
      <c r="J40" s="29">
        <f>F40*G40</f>
        <v>0</v>
      </c>
      <c r="K40" s="30" t="s">
        <v>60</v>
      </c>
      <c r="Z40" s="29">
        <f>IF(AQ40="5",BJ40,0)</f>
        <v>0</v>
      </c>
      <c r="AB40" s="29">
        <f>IF(AQ40="1",BH40,0)</f>
        <v>0</v>
      </c>
      <c r="AC40" s="29">
        <f>IF(AQ40="1",BI40,0)</f>
        <v>0</v>
      </c>
      <c r="AD40" s="29">
        <f>IF(AQ40="7",BH40,0)</f>
        <v>0</v>
      </c>
      <c r="AE40" s="29">
        <f>IF(AQ40="7",BI40,0)</f>
        <v>0</v>
      </c>
      <c r="AF40" s="29">
        <f>IF(AQ40="2",BH40,0)</f>
        <v>0</v>
      </c>
      <c r="AG40" s="29">
        <f>IF(AQ40="2",BI40,0)</f>
        <v>0</v>
      </c>
      <c r="AH40" s="29">
        <f>IF(AQ40="0",BJ40,0)</f>
        <v>0</v>
      </c>
      <c r="AI40" s="11" t="s">
        <v>55</v>
      </c>
      <c r="AJ40" s="29">
        <f>IF(AN40=0,J40,0)</f>
        <v>0</v>
      </c>
      <c r="AK40" s="29">
        <f>IF(AN40=12,J40,0)</f>
        <v>0</v>
      </c>
      <c r="AL40" s="29">
        <f>IF(AN40=21,J40,0)</f>
        <v>0</v>
      </c>
      <c r="AN40" s="29">
        <v>21</v>
      </c>
      <c r="AO40" s="29">
        <f>G40*0.586510822</f>
        <v>0</v>
      </c>
      <c r="AP40" s="29">
        <f>G40*(1-0.586510822)</f>
        <v>0</v>
      </c>
      <c r="AQ40" s="31" t="s">
        <v>56</v>
      </c>
      <c r="AV40" s="29">
        <f>AW40+AX40</f>
        <v>0</v>
      </c>
      <c r="AW40" s="29">
        <f>F40*AO40</f>
        <v>0</v>
      </c>
      <c r="AX40" s="29">
        <f>F40*AP40</f>
        <v>0</v>
      </c>
      <c r="AY40" s="31" t="s">
        <v>110</v>
      </c>
      <c r="AZ40" s="31" t="s">
        <v>62</v>
      </c>
      <c r="BA40" s="11" t="s">
        <v>63</v>
      </c>
      <c r="BC40" s="29">
        <f>AW40+AX40</f>
        <v>0</v>
      </c>
      <c r="BD40" s="29">
        <f>G40/(100-BE40)*100</f>
        <v>0</v>
      </c>
      <c r="BE40" s="29">
        <v>0</v>
      </c>
      <c r="BF40" s="29">
        <f>40</f>
        <v>40</v>
      </c>
      <c r="BH40" s="29">
        <f>F40*AO40</f>
        <v>0</v>
      </c>
      <c r="BI40" s="29">
        <f>F40*AP40</f>
        <v>0</v>
      </c>
      <c r="BJ40" s="29">
        <f>F40*G40</f>
        <v>0</v>
      </c>
      <c r="BK40" s="29"/>
      <c r="BL40" s="29">
        <v>64</v>
      </c>
      <c r="BW40" s="29">
        <v>21</v>
      </c>
      <c r="BX40" s="5" t="s">
        <v>116</v>
      </c>
    </row>
    <row r="41" spans="1:76" ht="13.5" customHeight="1" x14ac:dyDescent="0.25">
      <c r="A41" s="32"/>
      <c r="C41" s="86" t="s">
        <v>117</v>
      </c>
      <c r="D41" s="87"/>
      <c r="E41" s="87"/>
      <c r="F41" s="87"/>
      <c r="G41" s="87"/>
      <c r="H41" s="87"/>
      <c r="I41" s="87"/>
      <c r="J41" s="87"/>
      <c r="K41" s="88"/>
    </row>
    <row r="42" spans="1:76" x14ac:dyDescent="0.25">
      <c r="A42" s="32"/>
      <c r="C42" s="34" t="s">
        <v>111</v>
      </c>
      <c r="D42" s="34" t="s">
        <v>112</v>
      </c>
      <c r="F42" s="35">
        <v>78.650000000000006</v>
      </c>
      <c r="K42" s="36"/>
    </row>
    <row r="43" spans="1:76" ht="25.5" x14ac:dyDescent="0.25">
      <c r="A43" s="32"/>
      <c r="B43" s="37" t="s">
        <v>69</v>
      </c>
      <c r="C43" s="86" t="s">
        <v>118</v>
      </c>
      <c r="D43" s="87"/>
      <c r="E43" s="87"/>
      <c r="F43" s="87"/>
      <c r="G43" s="87"/>
      <c r="H43" s="87"/>
      <c r="I43" s="87"/>
      <c r="J43" s="87"/>
      <c r="K43" s="88"/>
      <c r="BX43" s="33" t="s">
        <v>118</v>
      </c>
    </row>
    <row r="44" spans="1:76" x14ac:dyDescent="0.25">
      <c r="A44" s="2" t="s">
        <v>119</v>
      </c>
      <c r="B44" s="3" t="s">
        <v>120</v>
      </c>
      <c r="C44" s="84" t="s">
        <v>121</v>
      </c>
      <c r="D44" s="85"/>
      <c r="E44" s="3" t="s">
        <v>59</v>
      </c>
      <c r="F44" s="29">
        <v>163.47</v>
      </c>
      <c r="G44" s="29">
        <v>0</v>
      </c>
      <c r="H44" s="29">
        <f>F44*AO44</f>
        <v>0</v>
      </c>
      <c r="I44" s="29">
        <f>F44*AP44</f>
        <v>0</v>
      </c>
      <c r="J44" s="29">
        <f>F44*G44</f>
        <v>0</v>
      </c>
      <c r="K44" s="30" t="s">
        <v>60</v>
      </c>
      <c r="Z44" s="29">
        <f>IF(AQ44="5",BJ44,0)</f>
        <v>0</v>
      </c>
      <c r="AB44" s="29">
        <f>IF(AQ44="1",BH44,0)</f>
        <v>0</v>
      </c>
      <c r="AC44" s="29">
        <f>IF(AQ44="1",BI44,0)</f>
        <v>0</v>
      </c>
      <c r="AD44" s="29">
        <f>IF(AQ44="7",BH44,0)</f>
        <v>0</v>
      </c>
      <c r="AE44" s="29">
        <f>IF(AQ44="7",BI44,0)</f>
        <v>0</v>
      </c>
      <c r="AF44" s="29">
        <f>IF(AQ44="2",BH44,0)</f>
        <v>0</v>
      </c>
      <c r="AG44" s="29">
        <f>IF(AQ44="2",BI44,0)</f>
        <v>0</v>
      </c>
      <c r="AH44" s="29">
        <f>IF(AQ44="0",BJ44,0)</f>
        <v>0</v>
      </c>
      <c r="AI44" s="11" t="s">
        <v>55</v>
      </c>
      <c r="AJ44" s="29">
        <f>IF(AN44=0,J44,0)</f>
        <v>0</v>
      </c>
      <c r="AK44" s="29">
        <f>IF(AN44=12,J44,0)</f>
        <v>0</v>
      </c>
      <c r="AL44" s="29">
        <f>IF(AN44=21,J44,0)</f>
        <v>0</v>
      </c>
      <c r="AN44" s="29">
        <v>21</v>
      </c>
      <c r="AO44" s="29">
        <f>G44*0.333785225</f>
        <v>0</v>
      </c>
      <c r="AP44" s="29">
        <f>G44*(1-0.333785225)</f>
        <v>0</v>
      </c>
      <c r="AQ44" s="31" t="s">
        <v>56</v>
      </c>
      <c r="AV44" s="29">
        <f>AW44+AX44</f>
        <v>0</v>
      </c>
      <c r="AW44" s="29">
        <f>F44*AO44</f>
        <v>0</v>
      </c>
      <c r="AX44" s="29">
        <f>F44*AP44</f>
        <v>0</v>
      </c>
      <c r="AY44" s="31" t="s">
        <v>110</v>
      </c>
      <c r="AZ44" s="31" t="s">
        <v>62</v>
      </c>
      <c r="BA44" s="11" t="s">
        <v>63</v>
      </c>
      <c r="BC44" s="29">
        <f>AW44+AX44</f>
        <v>0</v>
      </c>
      <c r="BD44" s="29">
        <f>G44/(100-BE44)*100</f>
        <v>0</v>
      </c>
      <c r="BE44" s="29">
        <v>0</v>
      </c>
      <c r="BF44" s="29">
        <f>44</f>
        <v>44</v>
      </c>
      <c r="BH44" s="29">
        <f>F44*AO44</f>
        <v>0</v>
      </c>
      <c r="BI44" s="29">
        <f>F44*AP44</f>
        <v>0</v>
      </c>
      <c r="BJ44" s="29">
        <f>F44*G44</f>
        <v>0</v>
      </c>
      <c r="BK44" s="29"/>
      <c r="BL44" s="29">
        <v>64</v>
      </c>
      <c r="BW44" s="29">
        <v>21</v>
      </c>
      <c r="BX44" s="5" t="s">
        <v>121</v>
      </c>
    </row>
    <row r="45" spans="1:76" x14ac:dyDescent="0.25">
      <c r="A45" s="32"/>
      <c r="C45" s="34" t="s">
        <v>122</v>
      </c>
      <c r="D45" s="34" t="s">
        <v>51</v>
      </c>
      <c r="F45" s="35">
        <v>163.47</v>
      </c>
      <c r="K45" s="36"/>
    </row>
    <row r="46" spans="1:76" x14ac:dyDescent="0.25">
      <c r="A46" s="2" t="s">
        <v>123</v>
      </c>
      <c r="B46" s="3" t="s">
        <v>124</v>
      </c>
      <c r="C46" s="84" t="s">
        <v>125</v>
      </c>
      <c r="D46" s="85"/>
      <c r="E46" s="3" t="s">
        <v>59</v>
      </c>
      <c r="F46" s="29">
        <v>50.22</v>
      </c>
      <c r="G46" s="29">
        <v>0</v>
      </c>
      <c r="H46" s="29">
        <f>F46*AO46</f>
        <v>0</v>
      </c>
      <c r="I46" s="29">
        <f>F46*AP46</f>
        <v>0</v>
      </c>
      <c r="J46" s="29">
        <f>F46*G46</f>
        <v>0</v>
      </c>
      <c r="K46" s="30" t="s">
        <v>60</v>
      </c>
      <c r="Z46" s="29">
        <f>IF(AQ46="5",BJ46,0)</f>
        <v>0</v>
      </c>
      <c r="AB46" s="29">
        <f>IF(AQ46="1",BH46,0)</f>
        <v>0</v>
      </c>
      <c r="AC46" s="29">
        <f>IF(AQ46="1",BI46,0)</f>
        <v>0</v>
      </c>
      <c r="AD46" s="29">
        <f>IF(AQ46="7",BH46,0)</f>
        <v>0</v>
      </c>
      <c r="AE46" s="29">
        <f>IF(AQ46="7",BI46,0)</f>
        <v>0</v>
      </c>
      <c r="AF46" s="29">
        <f>IF(AQ46="2",BH46,0)</f>
        <v>0</v>
      </c>
      <c r="AG46" s="29">
        <f>IF(AQ46="2",BI46,0)</f>
        <v>0</v>
      </c>
      <c r="AH46" s="29">
        <f>IF(AQ46="0",BJ46,0)</f>
        <v>0</v>
      </c>
      <c r="AI46" s="11" t="s">
        <v>55</v>
      </c>
      <c r="AJ46" s="29">
        <f>IF(AN46=0,J46,0)</f>
        <v>0</v>
      </c>
      <c r="AK46" s="29">
        <f>IF(AN46=12,J46,0)</f>
        <v>0</v>
      </c>
      <c r="AL46" s="29">
        <f>IF(AN46=21,J46,0)</f>
        <v>0</v>
      </c>
      <c r="AN46" s="29">
        <v>21</v>
      </c>
      <c r="AO46" s="29">
        <f>G46*0</f>
        <v>0</v>
      </c>
      <c r="AP46" s="29">
        <f>G46*(1-0)</f>
        <v>0</v>
      </c>
      <c r="AQ46" s="31" t="s">
        <v>56</v>
      </c>
      <c r="AV46" s="29">
        <f>AW46+AX46</f>
        <v>0</v>
      </c>
      <c r="AW46" s="29">
        <f>F46*AO46</f>
        <v>0</v>
      </c>
      <c r="AX46" s="29">
        <f>F46*AP46</f>
        <v>0</v>
      </c>
      <c r="AY46" s="31" t="s">
        <v>110</v>
      </c>
      <c r="AZ46" s="31" t="s">
        <v>62</v>
      </c>
      <c r="BA46" s="11" t="s">
        <v>63</v>
      </c>
      <c r="BC46" s="29">
        <f>AW46+AX46</f>
        <v>0</v>
      </c>
      <c r="BD46" s="29">
        <f>G46/(100-BE46)*100</f>
        <v>0</v>
      </c>
      <c r="BE46" s="29">
        <v>0</v>
      </c>
      <c r="BF46" s="29">
        <f>46</f>
        <v>46</v>
      </c>
      <c r="BH46" s="29">
        <f>F46*AO46</f>
        <v>0</v>
      </c>
      <c r="BI46" s="29">
        <f>F46*AP46</f>
        <v>0</v>
      </c>
      <c r="BJ46" s="29">
        <f>F46*G46</f>
        <v>0</v>
      </c>
      <c r="BK46" s="29"/>
      <c r="BL46" s="29">
        <v>64</v>
      </c>
      <c r="BW46" s="29">
        <v>21</v>
      </c>
      <c r="BX46" s="5" t="s">
        <v>125</v>
      </c>
    </row>
    <row r="47" spans="1:76" x14ac:dyDescent="0.25">
      <c r="A47" s="32"/>
      <c r="C47" s="34" t="s">
        <v>126</v>
      </c>
      <c r="D47" s="34" t="s">
        <v>127</v>
      </c>
      <c r="F47" s="35">
        <v>50.22</v>
      </c>
      <c r="K47" s="36"/>
    </row>
    <row r="48" spans="1:76" ht="25.5" x14ac:dyDescent="0.25">
      <c r="A48" s="32"/>
      <c r="B48" s="37" t="s">
        <v>69</v>
      </c>
      <c r="C48" s="86" t="s">
        <v>128</v>
      </c>
      <c r="D48" s="87"/>
      <c r="E48" s="87"/>
      <c r="F48" s="87"/>
      <c r="G48" s="87"/>
      <c r="H48" s="87"/>
      <c r="I48" s="87"/>
      <c r="J48" s="87"/>
      <c r="K48" s="88"/>
      <c r="BX48" s="33" t="s">
        <v>128</v>
      </c>
    </row>
    <row r="49" spans="1:76" x14ac:dyDescent="0.25">
      <c r="A49" s="2" t="s">
        <v>129</v>
      </c>
      <c r="B49" s="3" t="s">
        <v>130</v>
      </c>
      <c r="C49" s="84" t="s">
        <v>131</v>
      </c>
      <c r="D49" s="85"/>
      <c r="E49" s="3" t="s">
        <v>59</v>
      </c>
      <c r="F49" s="29">
        <v>25.11</v>
      </c>
      <c r="G49" s="29">
        <v>0</v>
      </c>
      <c r="H49" s="29">
        <f>F49*AO49</f>
        <v>0</v>
      </c>
      <c r="I49" s="29">
        <f>F49*AP49</f>
        <v>0</v>
      </c>
      <c r="J49" s="29">
        <f>F49*G49</f>
        <v>0</v>
      </c>
      <c r="K49" s="30" t="s">
        <v>60</v>
      </c>
      <c r="Z49" s="29">
        <f>IF(AQ49="5",BJ49,0)</f>
        <v>0</v>
      </c>
      <c r="AB49" s="29">
        <f>IF(AQ49="1",BH49,0)</f>
        <v>0</v>
      </c>
      <c r="AC49" s="29">
        <f>IF(AQ49="1",BI49,0)</f>
        <v>0</v>
      </c>
      <c r="AD49" s="29">
        <f>IF(AQ49="7",BH49,0)</f>
        <v>0</v>
      </c>
      <c r="AE49" s="29">
        <f>IF(AQ49="7",BI49,0)</f>
        <v>0</v>
      </c>
      <c r="AF49" s="29">
        <f>IF(AQ49="2",BH49,0)</f>
        <v>0</v>
      </c>
      <c r="AG49" s="29">
        <f>IF(AQ49="2",BI49,0)</f>
        <v>0</v>
      </c>
      <c r="AH49" s="29">
        <f>IF(AQ49="0",BJ49,0)</f>
        <v>0</v>
      </c>
      <c r="AI49" s="11" t="s">
        <v>55</v>
      </c>
      <c r="AJ49" s="29">
        <f>IF(AN49=0,J49,0)</f>
        <v>0</v>
      </c>
      <c r="AK49" s="29">
        <f>IF(AN49=12,J49,0)</f>
        <v>0</v>
      </c>
      <c r="AL49" s="29">
        <f>IF(AN49=21,J49,0)</f>
        <v>0</v>
      </c>
      <c r="AN49" s="29">
        <v>21</v>
      </c>
      <c r="AO49" s="29">
        <f>G49*0.401178179</f>
        <v>0</v>
      </c>
      <c r="AP49" s="29">
        <f>G49*(1-0.401178179)</f>
        <v>0</v>
      </c>
      <c r="AQ49" s="31" t="s">
        <v>56</v>
      </c>
      <c r="AV49" s="29">
        <f>AW49+AX49</f>
        <v>0</v>
      </c>
      <c r="AW49" s="29">
        <f>F49*AO49</f>
        <v>0</v>
      </c>
      <c r="AX49" s="29">
        <f>F49*AP49</f>
        <v>0</v>
      </c>
      <c r="AY49" s="31" t="s">
        <v>110</v>
      </c>
      <c r="AZ49" s="31" t="s">
        <v>62</v>
      </c>
      <c r="BA49" s="11" t="s">
        <v>63</v>
      </c>
      <c r="BC49" s="29">
        <f>AW49+AX49</f>
        <v>0</v>
      </c>
      <c r="BD49" s="29">
        <f>G49/(100-BE49)*100</f>
        <v>0</v>
      </c>
      <c r="BE49" s="29">
        <v>0</v>
      </c>
      <c r="BF49" s="29">
        <f>49</f>
        <v>49</v>
      </c>
      <c r="BH49" s="29">
        <f>F49*AO49</f>
        <v>0</v>
      </c>
      <c r="BI49" s="29">
        <f>F49*AP49</f>
        <v>0</v>
      </c>
      <c r="BJ49" s="29">
        <f>F49*G49</f>
        <v>0</v>
      </c>
      <c r="BK49" s="29"/>
      <c r="BL49" s="29">
        <v>64</v>
      </c>
      <c r="BW49" s="29">
        <v>21</v>
      </c>
      <c r="BX49" s="5" t="s">
        <v>131</v>
      </c>
    </row>
    <row r="50" spans="1:76" x14ac:dyDescent="0.25">
      <c r="A50" s="32"/>
      <c r="C50" s="34" t="s">
        <v>132</v>
      </c>
      <c r="D50" s="34" t="s">
        <v>68</v>
      </c>
      <c r="F50" s="35">
        <v>25.11</v>
      </c>
      <c r="K50" s="36"/>
    </row>
    <row r="51" spans="1:76" x14ac:dyDescent="0.25">
      <c r="A51" s="32"/>
      <c r="B51" s="37" t="s">
        <v>69</v>
      </c>
      <c r="C51" s="86" t="s">
        <v>133</v>
      </c>
      <c r="D51" s="87"/>
      <c r="E51" s="87"/>
      <c r="F51" s="87"/>
      <c r="G51" s="87"/>
      <c r="H51" s="87"/>
      <c r="I51" s="87"/>
      <c r="J51" s="87"/>
      <c r="K51" s="88"/>
      <c r="BX51" s="33" t="s">
        <v>133</v>
      </c>
    </row>
    <row r="52" spans="1:76" x14ac:dyDescent="0.25">
      <c r="A52" s="25" t="s">
        <v>51</v>
      </c>
      <c r="B52" s="26" t="s">
        <v>134</v>
      </c>
      <c r="C52" s="93" t="s">
        <v>135</v>
      </c>
      <c r="D52" s="94"/>
      <c r="E52" s="27" t="s">
        <v>32</v>
      </c>
      <c r="F52" s="27" t="s">
        <v>32</v>
      </c>
      <c r="G52" s="27" t="s">
        <v>32</v>
      </c>
      <c r="H52" s="1">
        <f>SUM(H53:H65)</f>
        <v>0</v>
      </c>
      <c r="I52" s="1">
        <f>SUM(I53:I65)</f>
        <v>0</v>
      </c>
      <c r="J52" s="1">
        <f>SUM(J53:J65)</f>
        <v>0</v>
      </c>
      <c r="K52" s="28" t="s">
        <v>51</v>
      </c>
      <c r="AI52" s="11" t="s">
        <v>55</v>
      </c>
      <c r="AS52" s="1">
        <f>SUM(AJ53:AJ65)</f>
        <v>0</v>
      </c>
      <c r="AT52" s="1">
        <f>SUM(AK53:AK65)</f>
        <v>0</v>
      </c>
      <c r="AU52" s="1">
        <f>SUM(AL53:AL65)</f>
        <v>0</v>
      </c>
    </row>
    <row r="53" spans="1:76" x14ac:dyDescent="0.25">
      <c r="A53" s="2" t="s">
        <v>136</v>
      </c>
      <c r="B53" s="3" t="s">
        <v>137</v>
      </c>
      <c r="C53" s="84" t="s">
        <v>138</v>
      </c>
      <c r="D53" s="85"/>
      <c r="E53" s="3" t="s">
        <v>84</v>
      </c>
      <c r="F53" s="29">
        <v>86.4</v>
      </c>
      <c r="G53" s="29">
        <v>0</v>
      </c>
      <c r="H53" s="29">
        <f>F53*AO53</f>
        <v>0</v>
      </c>
      <c r="I53" s="29">
        <f>F53*AP53</f>
        <v>0</v>
      </c>
      <c r="J53" s="29">
        <f>F53*G53</f>
        <v>0</v>
      </c>
      <c r="K53" s="30" t="s">
        <v>60</v>
      </c>
      <c r="Z53" s="29">
        <f>IF(AQ53="5",BJ53,0)</f>
        <v>0</v>
      </c>
      <c r="AB53" s="29">
        <f>IF(AQ53="1",BH53,0)</f>
        <v>0</v>
      </c>
      <c r="AC53" s="29">
        <f>IF(AQ53="1",BI53,0)</f>
        <v>0</v>
      </c>
      <c r="AD53" s="29">
        <f>IF(AQ53="7",BH53,0)</f>
        <v>0</v>
      </c>
      <c r="AE53" s="29">
        <f>IF(AQ53="7",BI53,0)</f>
        <v>0</v>
      </c>
      <c r="AF53" s="29">
        <f>IF(AQ53="2",BH53,0)</f>
        <v>0</v>
      </c>
      <c r="AG53" s="29">
        <f>IF(AQ53="2",BI53,0)</f>
        <v>0</v>
      </c>
      <c r="AH53" s="29">
        <f>IF(AQ53="0",BJ53,0)</f>
        <v>0</v>
      </c>
      <c r="AI53" s="11" t="s">
        <v>55</v>
      </c>
      <c r="AJ53" s="29">
        <f>IF(AN53=0,J53,0)</f>
        <v>0</v>
      </c>
      <c r="AK53" s="29">
        <f>IF(AN53=12,J53,0)</f>
        <v>0</v>
      </c>
      <c r="AL53" s="29">
        <f>IF(AN53=21,J53,0)</f>
        <v>0</v>
      </c>
      <c r="AN53" s="29">
        <v>21</v>
      </c>
      <c r="AO53" s="29">
        <f>G53*0</f>
        <v>0</v>
      </c>
      <c r="AP53" s="29">
        <f>G53*(1-0)</f>
        <v>0</v>
      </c>
      <c r="AQ53" s="31" t="s">
        <v>99</v>
      </c>
      <c r="AV53" s="29">
        <f>AW53+AX53</f>
        <v>0</v>
      </c>
      <c r="AW53" s="29">
        <f>F53*AO53</f>
        <v>0</v>
      </c>
      <c r="AX53" s="29">
        <f>F53*AP53</f>
        <v>0</v>
      </c>
      <c r="AY53" s="31" t="s">
        <v>139</v>
      </c>
      <c r="AZ53" s="31" t="s">
        <v>140</v>
      </c>
      <c r="BA53" s="11" t="s">
        <v>63</v>
      </c>
      <c r="BC53" s="29">
        <f>AW53+AX53</f>
        <v>0</v>
      </c>
      <c r="BD53" s="29">
        <f>G53/(100-BE53)*100</f>
        <v>0</v>
      </c>
      <c r="BE53" s="29">
        <v>0</v>
      </c>
      <c r="BF53" s="29">
        <f>53</f>
        <v>53</v>
      </c>
      <c r="BH53" s="29">
        <f>F53*AO53</f>
        <v>0</v>
      </c>
      <c r="BI53" s="29">
        <f>F53*AP53</f>
        <v>0</v>
      </c>
      <c r="BJ53" s="29">
        <f>F53*G53</f>
        <v>0</v>
      </c>
      <c r="BK53" s="29"/>
      <c r="BL53" s="29">
        <v>764</v>
      </c>
      <c r="BW53" s="29">
        <v>21</v>
      </c>
      <c r="BX53" s="5" t="s">
        <v>138</v>
      </c>
    </row>
    <row r="54" spans="1:76" ht="13.5" customHeight="1" x14ac:dyDescent="0.25">
      <c r="A54" s="32"/>
      <c r="C54" s="86" t="s">
        <v>141</v>
      </c>
      <c r="D54" s="87"/>
      <c r="E54" s="87"/>
      <c r="F54" s="87"/>
      <c r="G54" s="87"/>
      <c r="H54" s="87"/>
      <c r="I54" s="87"/>
      <c r="J54" s="87"/>
      <c r="K54" s="88"/>
    </row>
    <row r="55" spans="1:76" x14ac:dyDescent="0.25">
      <c r="A55" s="32"/>
      <c r="C55" s="34" t="s">
        <v>142</v>
      </c>
      <c r="D55" s="34" t="s">
        <v>143</v>
      </c>
      <c r="F55" s="35">
        <v>86.4</v>
      </c>
      <c r="K55" s="36"/>
    </row>
    <row r="56" spans="1:76" ht="25.5" x14ac:dyDescent="0.25">
      <c r="A56" s="32"/>
      <c r="B56" s="37" t="s">
        <v>69</v>
      </c>
      <c r="C56" s="86" t="s">
        <v>144</v>
      </c>
      <c r="D56" s="87"/>
      <c r="E56" s="87"/>
      <c r="F56" s="87"/>
      <c r="G56" s="87"/>
      <c r="H56" s="87"/>
      <c r="I56" s="87"/>
      <c r="J56" s="87"/>
      <c r="K56" s="88"/>
      <c r="BX56" s="33" t="s">
        <v>144</v>
      </c>
    </row>
    <row r="57" spans="1:76" x14ac:dyDescent="0.25">
      <c r="A57" s="2" t="s">
        <v>145</v>
      </c>
      <c r="B57" s="3" t="s">
        <v>146</v>
      </c>
      <c r="C57" s="84" t="s">
        <v>147</v>
      </c>
      <c r="D57" s="85"/>
      <c r="E57" s="3" t="s">
        <v>84</v>
      </c>
      <c r="F57" s="29">
        <v>84.75</v>
      </c>
      <c r="G57" s="29">
        <v>0</v>
      </c>
      <c r="H57" s="29">
        <f>F57*AO57</f>
        <v>0</v>
      </c>
      <c r="I57" s="29">
        <f>F57*AP57</f>
        <v>0</v>
      </c>
      <c r="J57" s="29">
        <f>F57*G57</f>
        <v>0</v>
      </c>
      <c r="K57" s="30" t="s">
        <v>60</v>
      </c>
      <c r="Z57" s="29">
        <f>IF(AQ57="5",BJ57,0)</f>
        <v>0</v>
      </c>
      <c r="AB57" s="29">
        <f>IF(AQ57="1",BH57,0)</f>
        <v>0</v>
      </c>
      <c r="AC57" s="29">
        <f>IF(AQ57="1",BI57,0)</f>
        <v>0</v>
      </c>
      <c r="AD57" s="29">
        <f>IF(AQ57="7",BH57,0)</f>
        <v>0</v>
      </c>
      <c r="AE57" s="29">
        <f>IF(AQ57="7",BI57,0)</f>
        <v>0</v>
      </c>
      <c r="AF57" s="29">
        <f>IF(AQ57="2",BH57,0)</f>
        <v>0</v>
      </c>
      <c r="AG57" s="29">
        <f>IF(AQ57="2",BI57,0)</f>
        <v>0</v>
      </c>
      <c r="AH57" s="29">
        <f>IF(AQ57="0",BJ57,0)</f>
        <v>0</v>
      </c>
      <c r="AI57" s="11" t="s">
        <v>55</v>
      </c>
      <c r="AJ57" s="29">
        <f>IF(AN57=0,J57,0)</f>
        <v>0</v>
      </c>
      <c r="AK57" s="29">
        <f>IF(AN57=12,J57,0)</f>
        <v>0</v>
      </c>
      <c r="AL57" s="29">
        <f>IF(AN57=21,J57,0)</f>
        <v>0</v>
      </c>
      <c r="AN57" s="29">
        <v>21</v>
      </c>
      <c r="AO57" s="29">
        <f>G57*0.576096194</f>
        <v>0</v>
      </c>
      <c r="AP57" s="29">
        <f>G57*(1-0.576096194)</f>
        <v>0</v>
      </c>
      <c r="AQ57" s="31" t="s">
        <v>99</v>
      </c>
      <c r="AV57" s="29">
        <f>AW57+AX57</f>
        <v>0</v>
      </c>
      <c r="AW57" s="29">
        <f>F57*AO57</f>
        <v>0</v>
      </c>
      <c r="AX57" s="29">
        <f>F57*AP57</f>
        <v>0</v>
      </c>
      <c r="AY57" s="31" t="s">
        <v>139</v>
      </c>
      <c r="AZ57" s="31" t="s">
        <v>140</v>
      </c>
      <c r="BA57" s="11" t="s">
        <v>63</v>
      </c>
      <c r="BC57" s="29">
        <f>AW57+AX57</f>
        <v>0</v>
      </c>
      <c r="BD57" s="29">
        <f>G57/(100-BE57)*100</f>
        <v>0</v>
      </c>
      <c r="BE57" s="29">
        <v>0</v>
      </c>
      <c r="BF57" s="29">
        <f>57</f>
        <v>57</v>
      </c>
      <c r="BH57" s="29">
        <f>F57*AO57</f>
        <v>0</v>
      </c>
      <c r="BI57" s="29">
        <f>F57*AP57</f>
        <v>0</v>
      </c>
      <c r="BJ57" s="29">
        <f>F57*G57</f>
        <v>0</v>
      </c>
      <c r="BK57" s="29"/>
      <c r="BL57" s="29">
        <v>764</v>
      </c>
      <c r="BW57" s="29">
        <v>21</v>
      </c>
      <c r="BX57" s="5" t="s">
        <v>147</v>
      </c>
    </row>
    <row r="58" spans="1:76" ht="13.5" customHeight="1" x14ac:dyDescent="0.25">
      <c r="A58" s="32"/>
      <c r="C58" s="86" t="s">
        <v>148</v>
      </c>
      <c r="D58" s="87"/>
      <c r="E58" s="87"/>
      <c r="F58" s="87"/>
      <c r="G58" s="87"/>
      <c r="H58" s="87"/>
      <c r="I58" s="87"/>
      <c r="J58" s="87"/>
      <c r="K58" s="88"/>
    </row>
    <row r="59" spans="1:76" x14ac:dyDescent="0.25">
      <c r="A59" s="32"/>
      <c r="C59" s="34" t="s">
        <v>149</v>
      </c>
      <c r="D59" s="34" t="s">
        <v>143</v>
      </c>
      <c r="F59" s="35">
        <v>81.349999999999994</v>
      </c>
      <c r="K59" s="36"/>
    </row>
    <row r="60" spans="1:76" x14ac:dyDescent="0.25">
      <c r="A60" s="32"/>
      <c r="C60" s="34" t="s">
        <v>150</v>
      </c>
      <c r="D60" s="34" t="s">
        <v>51</v>
      </c>
      <c r="F60" s="35">
        <v>3.4</v>
      </c>
      <c r="K60" s="36"/>
    </row>
    <row r="61" spans="1:76" x14ac:dyDescent="0.25">
      <c r="A61" s="32"/>
      <c r="B61" s="37" t="s">
        <v>69</v>
      </c>
      <c r="C61" s="86" t="s">
        <v>151</v>
      </c>
      <c r="D61" s="87"/>
      <c r="E61" s="87"/>
      <c r="F61" s="87"/>
      <c r="G61" s="87"/>
      <c r="H61" s="87"/>
      <c r="I61" s="87"/>
      <c r="J61" s="87"/>
      <c r="K61" s="88"/>
      <c r="BX61" s="33" t="s">
        <v>151</v>
      </c>
    </row>
    <row r="62" spans="1:76" x14ac:dyDescent="0.25">
      <c r="A62" s="38" t="s">
        <v>152</v>
      </c>
      <c r="B62" s="39" t="s">
        <v>153</v>
      </c>
      <c r="C62" s="95" t="s">
        <v>154</v>
      </c>
      <c r="D62" s="96"/>
      <c r="E62" s="39" t="s">
        <v>84</v>
      </c>
      <c r="F62" s="41">
        <v>86.515000000000001</v>
      </c>
      <c r="G62" s="41">
        <v>0</v>
      </c>
      <c r="H62" s="41">
        <f>F62*AO62</f>
        <v>0</v>
      </c>
      <c r="I62" s="41">
        <f>F62*AP62</f>
        <v>0</v>
      </c>
      <c r="J62" s="41">
        <f>F62*G62</f>
        <v>0</v>
      </c>
      <c r="K62" s="42" t="s">
        <v>60</v>
      </c>
      <c r="Z62" s="29">
        <f>IF(AQ62="5",BJ62,0)</f>
        <v>0</v>
      </c>
      <c r="AB62" s="29">
        <f>IF(AQ62="1",BH62,0)</f>
        <v>0</v>
      </c>
      <c r="AC62" s="29">
        <f>IF(AQ62="1",BI62,0)</f>
        <v>0</v>
      </c>
      <c r="AD62" s="29">
        <f>IF(AQ62="7",BH62,0)</f>
        <v>0</v>
      </c>
      <c r="AE62" s="29">
        <f>IF(AQ62="7",BI62,0)</f>
        <v>0</v>
      </c>
      <c r="AF62" s="29">
        <f>IF(AQ62="2",BH62,0)</f>
        <v>0</v>
      </c>
      <c r="AG62" s="29">
        <f>IF(AQ62="2",BI62,0)</f>
        <v>0</v>
      </c>
      <c r="AH62" s="29">
        <f>IF(AQ62="0",BJ62,0)</f>
        <v>0</v>
      </c>
      <c r="AI62" s="11" t="s">
        <v>55</v>
      </c>
      <c r="AJ62" s="41">
        <f>IF(AN62=0,J62,0)</f>
        <v>0</v>
      </c>
      <c r="AK62" s="41">
        <f>IF(AN62=12,J62,0)</f>
        <v>0</v>
      </c>
      <c r="AL62" s="41">
        <f>IF(AN62=21,J62,0)</f>
        <v>0</v>
      </c>
      <c r="AN62" s="29">
        <v>21</v>
      </c>
      <c r="AO62" s="29">
        <f>G62*1</f>
        <v>0</v>
      </c>
      <c r="AP62" s="29">
        <f>G62*(1-1)</f>
        <v>0</v>
      </c>
      <c r="AQ62" s="43" t="s">
        <v>99</v>
      </c>
      <c r="AV62" s="29">
        <f>AW62+AX62</f>
        <v>0</v>
      </c>
      <c r="AW62" s="29">
        <f>F62*AO62</f>
        <v>0</v>
      </c>
      <c r="AX62" s="29">
        <f>F62*AP62</f>
        <v>0</v>
      </c>
      <c r="AY62" s="31" t="s">
        <v>139</v>
      </c>
      <c r="AZ62" s="31" t="s">
        <v>140</v>
      </c>
      <c r="BA62" s="11" t="s">
        <v>63</v>
      </c>
      <c r="BC62" s="29">
        <f>AW62+AX62</f>
        <v>0</v>
      </c>
      <c r="BD62" s="29">
        <f>G62/(100-BE62)*100</f>
        <v>0</v>
      </c>
      <c r="BE62" s="29">
        <v>0</v>
      </c>
      <c r="BF62" s="29">
        <f>62</f>
        <v>62</v>
      </c>
      <c r="BH62" s="41">
        <f>F62*AO62</f>
        <v>0</v>
      </c>
      <c r="BI62" s="41">
        <f>F62*AP62</f>
        <v>0</v>
      </c>
      <c r="BJ62" s="41">
        <f>F62*G62</f>
        <v>0</v>
      </c>
      <c r="BK62" s="41"/>
      <c r="BL62" s="29">
        <v>764</v>
      </c>
      <c r="BW62" s="29">
        <v>21</v>
      </c>
      <c r="BX62" s="40" t="s">
        <v>154</v>
      </c>
    </row>
    <row r="63" spans="1:76" x14ac:dyDescent="0.25">
      <c r="A63" s="32"/>
      <c r="C63" s="34" t="s">
        <v>155</v>
      </c>
      <c r="D63" s="34" t="s">
        <v>51</v>
      </c>
      <c r="F63" s="35">
        <v>86.515000000000001</v>
      </c>
      <c r="K63" s="36"/>
    </row>
    <row r="64" spans="1:76" ht="38.25" x14ac:dyDescent="0.25">
      <c r="A64" s="32"/>
      <c r="B64" s="37" t="s">
        <v>69</v>
      </c>
      <c r="C64" s="86" t="s">
        <v>156</v>
      </c>
      <c r="D64" s="87"/>
      <c r="E64" s="87"/>
      <c r="F64" s="87"/>
      <c r="G64" s="87"/>
      <c r="H64" s="87"/>
      <c r="I64" s="87"/>
      <c r="J64" s="87"/>
      <c r="K64" s="88"/>
      <c r="BX64" s="44" t="s">
        <v>156</v>
      </c>
    </row>
    <row r="65" spans="1:76" x14ac:dyDescent="0.25">
      <c r="A65" s="2" t="s">
        <v>157</v>
      </c>
      <c r="B65" s="3" t="s">
        <v>158</v>
      </c>
      <c r="C65" s="84" t="s">
        <v>159</v>
      </c>
      <c r="D65" s="85"/>
      <c r="E65" s="3" t="s">
        <v>160</v>
      </c>
      <c r="F65" s="29">
        <v>0.50649999999999995</v>
      </c>
      <c r="G65" s="29">
        <v>0</v>
      </c>
      <c r="H65" s="29">
        <f>F65*AO65</f>
        <v>0</v>
      </c>
      <c r="I65" s="29">
        <f>F65*AP65</f>
        <v>0</v>
      </c>
      <c r="J65" s="29">
        <f>F65*G65</f>
        <v>0</v>
      </c>
      <c r="K65" s="30" t="s">
        <v>60</v>
      </c>
      <c r="Z65" s="29">
        <f>IF(AQ65="5",BJ65,0)</f>
        <v>0</v>
      </c>
      <c r="AB65" s="29">
        <f>IF(AQ65="1",BH65,0)</f>
        <v>0</v>
      </c>
      <c r="AC65" s="29">
        <f>IF(AQ65="1",BI65,0)</f>
        <v>0</v>
      </c>
      <c r="AD65" s="29">
        <f>IF(AQ65="7",BH65,0)</f>
        <v>0</v>
      </c>
      <c r="AE65" s="29">
        <f>IF(AQ65="7",BI65,0)</f>
        <v>0</v>
      </c>
      <c r="AF65" s="29">
        <f>IF(AQ65="2",BH65,0)</f>
        <v>0</v>
      </c>
      <c r="AG65" s="29">
        <f>IF(AQ65="2",BI65,0)</f>
        <v>0</v>
      </c>
      <c r="AH65" s="29">
        <f>IF(AQ65="0",BJ65,0)</f>
        <v>0</v>
      </c>
      <c r="AI65" s="11" t="s">
        <v>55</v>
      </c>
      <c r="AJ65" s="29">
        <f>IF(AN65=0,J65,0)</f>
        <v>0</v>
      </c>
      <c r="AK65" s="29">
        <f>IF(AN65=12,J65,0)</f>
        <v>0</v>
      </c>
      <c r="AL65" s="29">
        <f>IF(AN65=21,J65,0)</f>
        <v>0</v>
      </c>
      <c r="AN65" s="29">
        <v>21</v>
      </c>
      <c r="AO65" s="29">
        <f>G65*0</f>
        <v>0</v>
      </c>
      <c r="AP65" s="29">
        <f>G65*(1-0)</f>
        <v>0</v>
      </c>
      <c r="AQ65" s="31" t="s">
        <v>87</v>
      </c>
      <c r="AV65" s="29">
        <f>AW65+AX65</f>
        <v>0</v>
      </c>
      <c r="AW65" s="29">
        <f>F65*AO65</f>
        <v>0</v>
      </c>
      <c r="AX65" s="29">
        <f>F65*AP65</f>
        <v>0</v>
      </c>
      <c r="AY65" s="31" t="s">
        <v>139</v>
      </c>
      <c r="AZ65" s="31" t="s">
        <v>140</v>
      </c>
      <c r="BA65" s="11" t="s">
        <v>63</v>
      </c>
      <c r="BC65" s="29">
        <f>AW65+AX65</f>
        <v>0</v>
      </c>
      <c r="BD65" s="29">
        <f>G65/(100-BE65)*100</f>
        <v>0</v>
      </c>
      <c r="BE65" s="29">
        <v>0</v>
      </c>
      <c r="BF65" s="29">
        <f>65</f>
        <v>65</v>
      </c>
      <c r="BH65" s="29">
        <f>F65*AO65</f>
        <v>0</v>
      </c>
      <c r="BI65" s="29">
        <f>F65*AP65</f>
        <v>0</v>
      </c>
      <c r="BJ65" s="29">
        <f>F65*G65</f>
        <v>0</v>
      </c>
      <c r="BK65" s="29"/>
      <c r="BL65" s="29">
        <v>764</v>
      </c>
      <c r="BW65" s="29">
        <v>21</v>
      </c>
      <c r="BX65" s="5" t="s">
        <v>159</v>
      </c>
    </row>
    <row r="66" spans="1:76" x14ac:dyDescent="0.25">
      <c r="A66" s="32"/>
      <c r="C66" s="34" t="s">
        <v>161</v>
      </c>
      <c r="D66" s="34" t="s">
        <v>51</v>
      </c>
      <c r="F66" s="35">
        <v>0.50649999999999995</v>
      </c>
      <c r="K66" s="36"/>
    </row>
    <row r="67" spans="1:76" x14ac:dyDescent="0.25">
      <c r="A67" s="25" t="s">
        <v>51</v>
      </c>
      <c r="B67" s="26" t="s">
        <v>162</v>
      </c>
      <c r="C67" s="93" t="s">
        <v>163</v>
      </c>
      <c r="D67" s="94"/>
      <c r="E67" s="27" t="s">
        <v>32</v>
      </c>
      <c r="F67" s="27" t="s">
        <v>32</v>
      </c>
      <c r="G67" s="27" t="s">
        <v>32</v>
      </c>
      <c r="H67" s="1">
        <f>SUM(H68:H108)</f>
        <v>0</v>
      </c>
      <c r="I67" s="1">
        <f>SUM(I68:I108)</f>
        <v>0</v>
      </c>
      <c r="J67" s="1">
        <f>SUM(J68:J108)</f>
        <v>0</v>
      </c>
      <c r="K67" s="28" t="s">
        <v>51</v>
      </c>
      <c r="AI67" s="11" t="s">
        <v>55</v>
      </c>
      <c r="AS67" s="1">
        <f>SUM(AJ68:AJ108)</f>
        <v>0</v>
      </c>
      <c r="AT67" s="1">
        <f>SUM(AK68:AK108)</f>
        <v>0</v>
      </c>
      <c r="AU67" s="1">
        <f>SUM(AL68:AL108)</f>
        <v>0</v>
      </c>
    </row>
    <row r="68" spans="1:76" x14ac:dyDescent="0.25">
      <c r="A68" s="2" t="s">
        <v>164</v>
      </c>
      <c r="B68" s="3" t="s">
        <v>165</v>
      </c>
      <c r="C68" s="84" t="s">
        <v>166</v>
      </c>
      <c r="D68" s="85"/>
      <c r="E68" s="3" t="s">
        <v>84</v>
      </c>
      <c r="F68" s="29">
        <v>455.32</v>
      </c>
      <c r="G68" s="29">
        <v>0</v>
      </c>
      <c r="H68" s="29">
        <f>F68*AO68</f>
        <v>0</v>
      </c>
      <c r="I68" s="29">
        <f>F68*AP68</f>
        <v>0</v>
      </c>
      <c r="J68" s="29">
        <f>F68*G68</f>
        <v>0</v>
      </c>
      <c r="K68" s="30" t="s">
        <v>60</v>
      </c>
      <c r="Z68" s="29">
        <f>IF(AQ68="5",BJ68,0)</f>
        <v>0</v>
      </c>
      <c r="AB68" s="29">
        <f>IF(AQ68="1",BH68,0)</f>
        <v>0</v>
      </c>
      <c r="AC68" s="29">
        <f>IF(AQ68="1",BI68,0)</f>
        <v>0</v>
      </c>
      <c r="AD68" s="29">
        <f>IF(AQ68="7",BH68,0)</f>
        <v>0</v>
      </c>
      <c r="AE68" s="29">
        <f>IF(AQ68="7",BI68,0)</f>
        <v>0</v>
      </c>
      <c r="AF68" s="29">
        <f>IF(AQ68="2",BH68,0)</f>
        <v>0</v>
      </c>
      <c r="AG68" s="29">
        <f>IF(AQ68="2",BI68,0)</f>
        <v>0</v>
      </c>
      <c r="AH68" s="29">
        <f>IF(AQ68="0",BJ68,0)</f>
        <v>0</v>
      </c>
      <c r="AI68" s="11" t="s">
        <v>55</v>
      </c>
      <c r="AJ68" s="29">
        <f>IF(AN68=0,J68,0)</f>
        <v>0</v>
      </c>
      <c r="AK68" s="29">
        <f>IF(AN68=12,J68,0)</f>
        <v>0</v>
      </c>
      <c r="AL68" s="29">
        <f>IF(AN68=21,J68,0)</f>
        <v>0</v>
      </c>
      <c r="AN68" s="29">
        <v>21</v>
      </c>
      <c r="AO68" s="29">
        <f>G68*0</f>
        <v>0</v>
      </c>
      <c r="AP68" s="29">
        <f>G68*(1-0)</f>
        <v>0</v>
      </c>
      <c r="AQ68" s="31" t="s">
        <v>99</v>
      </c>
      <c r="AV68" s="29">
        <f>AW68+AX68</f>
        <v>0</v>
      </c>
      <c r="AW68" s="29">
        <f>F68*AO68</f>
        <v>0</v>
      </c>
      <c r="AX68" s="29">
        <f>F68*AP68</f>
        <v>0</v>
      </c>
      <c r="AY68" s="31" t="s">
        <v>167</v>
      </c>
      <c r="AZ68" s="31" t="s">
        <v>140</v>
      </c>
      <c r="BA68" s="11" t="s">
        <v>63</v>
      </c>
      <c r="BC68" s="29">
        <f>AW68+AX68</f>
        <v>0</v>
      </c>
      <c r="BD68" s="29">
        <f>G68/(100-BE68)*100</f>
        <v>0</v>
      </c>
      <c r="BE68" s="29">
        <v>0</v>
      </c>
      <c r="BF68" s="29">
        <f>68</f>
        <v>68</v>
      </c>
      <c r="BH68" s="29">
        <f>F68*AO68</f>
        <v>0</v>
      </c>
      <c r="BI68" s="29">
        <f>F68*AP68</f>
        <v>0</v>
      </c>
      <c r="BJ68" s="29">
        <f>F68*G68</f>
        <v>0</v>
      </c>
      <c r="BK68" s="29"/>
      <c r="BL68" s="29">
        <v>766</v>
      </c>
      <c r="BW68" s="29">
        <v>21</v>
      </c>
      <c r="BX68" s="5" t="s">
        <v>166</v>
      </c>
    </row>
    <row r="69" spans="1:76" x14ac:dyDescent="0.25">
      <c r="A69" s="32"/>
      <c r="C69" s="34" t="s">
        <v>168</v>
      </c>
      <c r="D69" s="34" t="s">
        <v>169</v>
      </c>
      <c r="F69" s="35">
        <v>15</v>
      </c>
      <c r="K69" s="36"/>
    </row>
    <row r="70" spans="1:76" x14ac:dyDescent="0.25">
      <c r="A70" s="32"/>
      <c r="C70" s="34" t="s">
        <v>170</v>
      </c>
      <c r="D70" s="34" t="s">
        <v>51</v>
      </c>
      <c r="F70" s="35">
        <v>144</v>
      </c>
      <c r="K70" s="36"/>
    </row>
    <row r="71" spans="1:76" x14ac:dyDescent="0.25">
      <c r="A71" s="32"/>
      <c r="C71" s="34" t="s">
        <v>171</v>
      </c>
      <c r="D71" s="34" t="s">
        <v>51</v>
      </c>
      <c r="F71" s="35">
        <v>3.6</v>
      </c>
      <c r="K71" s="36"/>
    </row>
    <row r="72" spans="1:76" x14ac:dyDescent="0.25">
      <c r="A72" s="32"/>
      <c r="C72" s="34" t="s">
        <v>172</v>
      </c>
      <c r="D72" s="34" t="s">
        <v>51</v>
      </c>
      <c r="F72" s="35">
        <v>21.6</v>
      </c>
      <c r="K72" s="36"/>
    </row>
    <row r="73" spans="1:76" x14ac:dyDescent="0.25">
      <c r="A73" s="32"/>
      <c r="C73" s="34" t="s">
        <v>173</v>
      </c>
      <c r="D73" s="34" t="s">
        <v>51</v>
      </c>
      <c r="F73" s="35">
        <v>13.2</v>
      </c>
      <c r="K73" s="36"/>
    </row>
    <row r="74" spans="1:76" x14ac:dyDescent="0.25">
      <c r="A74" s="32"/>
      <c r="C74" s="34" t="s">
        <v>174</v>
      </c>
      <c r="D74" s="34" t="s">
        <v>51</v>
      </c>
      <c r="F74" s="35">
        <v>135</v>
      </c>
      <c r="K74" s="36"/>
    </row>
    <row r="75" spans="1:76" x14ac:dyDescent="0.25">
      <c r="A75" s="32"/>
      <c r="C75" s="34" t="s">
        <v>175</v>
      </c>
      <c r="D75" s="34" t="s">
        <v>51</v>
      </c>
      <c r="F75" s="35">
        <v>4.5</v>
      </c>
      <c r="K75" s="36"/>
    </row>
    <row r="76" spans="1:76" x14ac:dyDescent="0.25">
      <c r="A76" s="32"/>
      <c r="C76" s="34" t="s">
        <v>176</v>
      </c>
      <c r="D76" s="34" t="s">
        <v>51</v>
      </c>
      <c r="F76" s="35">
        <v>8.6999999999999993</v>
      </c>
      <c r="K76" s="36"/>
    </row>
    <row r="77" spans="1:76" x14ac:dyDescent="0.25">
      <c r="A77" s="32"/>
      <c r="C77" s="34" t="s">
        <v>177</v>
      </c>
      <c r="D77" s="34" t="s">
        <v>51</v>
      </c>
      <c r="F77" s="35">
        <v>7</v>
      </c>
      <c r="K77" s="36"/>
    </row>
    <row r="78" spans="1:76" x14ac:dyDescent="0.25">
      <c r="A78" s="32"/>
      <c r="C78" s="34" t="s">
        <v>178</v>
      </c>
      <c r="D78" s="34" t="s">
        <v>51</v>
      </c>
      <c r="F78" s="35">
        <v>9</v>
      </c>
      <c r="K78" s="36"/>
    </row>
    <row r="79" spans="1:76" x14ac:dyDescent="0.25">
      <c r="A79" s="32"/>
      <c r="C79" s="34" t="s">
        <v>179</v>
      </c>
      <c r="D79" s="34" t="s">
        <v>51</v>
      </c>
      <c r="F79" s="35">
        <v>9.7200000000000006</v>
      </c>
      <c r="K79" s="36"/>
    </row>
    <row r="80" spans="1:76" x14ac:dyDescent="0.25">
      <c r="A80" s="32"/>
      <c r="C80" s="34" t="s">
        <v>51</v>
      </c>
      <c r="D80" s="34" t="s">
        <v>180</v>
      </c>
      <c r="F80" s="35">
        <v>0</v>
      </c>
      <c r="K80" s="36"/>
    </row>
    <row r="81" spans="1:76" x14ac:dyDescent="0.25">
      <c r="A81" s="32"/>
      <c r="C81" s="34" t="s">
        <v>181</v>
      </c>
      <c r="D81" s="34" t="s">
        <v>51</v>
      </c>
      <c r="F81" s="35">
        <v>84</v>
      </c>
      <c r="K81" s="36"/>
    </row>
    <row r="82" spans="1:76" x14ac:dyDescent="0.25">
      <c r="A82" s="32"/>
      <c r="B82" s="37" t="s">
        <v>69</v>
      </c>
      <c r="C82" s="86" t="s">
        <v>182</v>
      </c>
      <c r="D82" s="87"/>
      <c r="E82" s="87"/>
      <c r="F82" s="87"/>
      <c r="G82" s="87"/>
      <c r="H82" s="87"/>
      <c r="I82" s="87"/>
      <c r="J82" s="87"/>
      <c r="K82" s="88"/>
      <c r="BX82" s="33" t="s">
        <v>182</v>
      </c>
    </row>
    <row r="83" spans="1:76" x14ac:dyDescent="0.25">
      <c r="A83" s="38" t="s">
        <v>183</v>
      </c>
      <c r="B83" s="39" t="s">
        <v>184</v>
      </c>
      <c r="C83" s="95" t="s">
        <v>185</v>
      </c>
      <c r="D83" s="96"/>
      <c r="E83" s="39" t="s">
        <v>59</v>
      </c>
      <c r="F83" s="41">
        <v>163.47</v>
      </c>
      <c r="G83" s="41">
        <v>0</v>
      </c>
      <c r="H83" s="41">
        <f>F83*AO83</f>
        <v>0</v>
      </c>
      <c r="I83" s="41">
        <f>F83*AP83</f>
        <v>0</v>
      </c>
      <c r="J83" s="41">
        <f>F83*G83</f>
        <v>0</v>
      </c>
      <c r="K83" s="42" t="s">
        <v>51</v>
      </c>
      <c r="Z83" s="29">
        <f>IF(AQ83="5",BJ83,0)</f>
        <v>0</v>
      </c>
      <c r="AB83" s="29">
        <f>IF(AQ83="1",BH83,0)</f>
        <v>0</v>
      </c>
      <c r="AC83" s="29">
        <f>IF(AQ83="1",BI83,0)</f>
        <v>0</v>
      </c>
      <c r="AD83" s="29">
        <f>IF(AQ83="7",BH83,0)</f>
        <v>0</v>
      </c>
      <c r="AE83" s="29">
        <f>IF(AQ83="7",BI83,0)</f>
        <v>0</v>
      </c>
      <c r="AF83" s="29">
        <f>IF(AQ83="2",BH83,0)</f>
        <v>0</v>
      </c>
      <c r="AG83" s="29">
        <f>IF(AQ83="2",BI83,0)</f>
        <v>0</v>
      </c>
      <c r="AH83" s="29">
        <f>IF(AQ83="0",BJ83,0)</f>
        <v>0</v>
      </c>
      <c r="AI83" s="11" t="s">
        <v>55</v>
      </c>
      <c r="AJ83" s="41">
        <f>IF(AN83=0,J83,0)</f>
        <v>0</v>
      </c>
      <c r="AK83" s="41">
        <f>IF(AN83=12,J83,0)</f>
        <v>0</v>
      </c>
      <c r="AL83" s="41">
        <f>IF(AN83=21,J83,0)</f>
        <v>0</v>
      </c>
      <c r="AN83" s="29">
        <v>21</v>
      </c>
      <c r="AO83" s="29">
        <f>G83*1</f>
        <v>0</v>
      </c>
      <c r="AP83" s="29">
        <f>G83*(1-1)</f>
        <v>0</v>
      </c>
      <c r="AQ83" s="43" t="s">
        <v>99</v>
      </c>
      <c r="AV83" s="29">
        <f>AW83+AX83</f>
        <v>0</v>
      </c>
      <c r="AW83" s="29">
        <f>F83*AO83</f>
        <v>0</v>
      </c>
      <c r="AX83" s="29">
        <f>F83*AP83</f>
        <v>0</v>
      </c>
      <c r="AY83" s="31" t="s">
        <v>167</v>
      </c>
      <c r="AZ83" s="31" t="s">
        <v>140</v>
      </c>
      <c r="BA83" s="11" t="s">
        <v>63</v>
      </c>
      <c r="BC83" s="29">
        <f>AW83+AX83</f>
        <v>0</v>
      </c>
      <c r="BD83" s="29">
        <f>G83/(100-BE83)*100</f>
        <v>0</v>
      </c>
      <c r="BE83" s="29">
        <v>0</v>
      </c>
      <c r="BF83" s="29">
        <f>83</f>
        <v>83</v>
      </c>
      <c r="BH83" s="41">
        <f>F83*AO83</f>
        <v>0</v>
      </c>
      <c r="BI83" s="41">
        <f>F83*AP83</f>
        <v>0</v>
      </c>
      <c r="BJ83" s="41">
        <f>F83*G83</f>
        <v>0</v>
      </c>
      <c r="BK83" s="41"/>
      <c r="BL83" s="29">
        <v>766</v>
      </c>
      <c r="BW83" s="29">
        <v>21</v>
      </c>
      <c r="BX83" s="40" t="s">
        <v>185</v>
      </c>
    </row>
    <row r="84" spans="1:76" x14ac:dyDescent="0.25">
      <c r="A84" s="32"/>
      <c r="C84" s="34" t="s">
        <v>186</v>
      </c>
      <c r="D84" s="34" t="s">
        <v>187</v>
      </c>
      <c r="F84" s="35">
        <v>2.7</v>
      </c>
      <c r="K84" s="36"/>
    </row>
    <row r="85" spans="1:76" x14ac:dyDescent="0.25">
      <c r="A85" s="32"/>
      <c r="C85" s="34" t="s">
        <v>188</v>
      </c>
      <c r="D85" s="34" t="s">
        <v>51</v>
      </c>
      <c r="F85" s="35">
        <v>51.84</v>
      </c>
      <c r="K85" s="36"/>
    </row>
    <row r="86" spans="1:76" x14ac:dyDescent="0.25">
      <c r="A86" s="32"/>
      <c r="C86" s="34" t="s">
        <v>189</v>
      </c>
      <c r="D86" s="34" t="s">
        <v>51</v>
      </c>
      <c r="F86" s="35">
        <v>0.72</v>
      </c>
      <c r="K86" s="36"/>
    </row>
    <row r="87" spans="1:76" x14ac:dyDescent="0.25">
      <c r="A87" s="32"/>
      <c r="C87" s="34" t="s">
        <v>190</v>
      </c>
      <c r="D87" s="34" t="s">
        <v>51</v>
      </c>
      <c r="F87" s="35">
        <v>9.4499999999999993</v>
      </c>
      <c r="K87" s="36"/>
    </row>
    <row r="88" spans="1:76" x14ac:dyDescent="0.25">
      <c r="A88" s="32"/>
      <c r="C88" s="34" t="s">
        <v>191</v>
      </c>
      <c r="D88" s="34" t="s">
        <v>51</v>
      </c>
      <c r="F88" s="35">
        <v>5.04</v>
      </c>
      <c r="K88" s="36"/>
    </row>
    <row r="89" spans="1:76" x14ac:dyDescent="0.25">
      <c r="A89" s="32"/>
      <c r="C89" s="34" t="s">
        <v>192</v>
      </c>
      <c r="D89" s="34" t="s">
        <v>51</v>
      </c>
      <c r="F89" s="35">
        <v>75.599999999999994</v>
      </c>
      <c r="K89" s="36"/>
    </row>
    <row r="90" spans="1:76" x14ac:dyDescent="0.25">
      <c r="A90" s="32"/>
      <c r="C90" s="34" t="s">
        <v>193</v>
      </c>
      <c r="D90" s="34" t="s">
        <v>51</v>
      </c>
      <c r="F90" s="35">
        <v>1.125</v>
      </c>
      <c r="K90" s="36"/>
    </row>
    <row r="91" spans="1:76" x14ac:dyDescent="0.25">
      <c r="A91" s="32"/>
      <c r="C91" s="34" t="s">
        <v>194</v>
      </c>
      <c r="D91" s="34" t="s">
        <v>51</v>
      </c>
      <c r="F91" s="35">
        <v>4.2750000000000004</v>
      </c>
      <c r="K91" s="36"/>
    </row>
    <row r="92" spans="1:76" x14ac:dyDescent="0.25">
      <c r="A92" s="32"/>
      <c r="C92" s="34" t="s">
        <v>195</v>
      </c>
      <c r="D92" s="34" t="s">
        <v>51</v>
      </c>
      <c r="F92" s="35">
        <v>3</v>
      </c>
      <c r="K92" s="36"/>
    </row>
    <row r="93" spans="1:76" x14ac:dyDescent="0.25">
      <c r="A93" s="32"/>
      <c r="C93" s="34" t="s">
        <v>196</v>
      </c>
      <c r="D93" s="34" t="s">
        <v>51</v>
      </c>
      <c r="F93" s="35">
        <v>4.8600000000000003</v>
      </c>
      <c r="K93" s="36"/>
    </row>
    <row r="94" spans="1:76" x14ac:dyDescent="0.25">
      <c r="A94" s="32"/>
      <c r="C94" s="34" t="s">
        <v>196</v>
      </c>
      <c r="D94" s="34" t="s">
        <v>51</v>
      </c>
      <c r="F94" s="35">
        <v>4.8600000000000003</v>
      </c>
      <c r="K94" s="36"/>
    </row>
    <row r="95" spans="1:76" x14ac:dyDescent="0.25">
      <c r="A95" s="2" t="s">
        <v>197</v>
      </c>
      <c r="B95" s="3" t="s">
        <v>198</v>
      </c>
      <c r="C95" s="84" t="s">
        <v>199</v>
      </c>
      <c r="D95" s="85"/>
      <c r="E95" s="3" t="s">
        <v>59</v>
      </c>
      <c r="F95" s="29">
        <v>117.09</v>
      </c>
      <c r="G95" s="29">
        <v>0</v>
      </c>
      <c r="H95" s="29">
        <f>F95*AO95</f>
        <v>0</v>
      </c>
      <c r="I95" s="29">
        <f>F95*AP95</f>
        <v>0</v>
      </c>
      <c r="J95" s="29">
        <f>F95*G95</f>
        <v>0</v>
      </c>
      <c r="K95" s="30" t="s">
        <v>60</v>
      </c>
      <c r="Z95" s="29">
        <f>IF(AQ95="5",BJ95,0)</f>
        <v>0</v>
      </c>
      <c r="AB95" s="29">
        <f>IF(AQ95="1",BH95,0)</f>
        <v>0</v>
      </c>
      <c r="AC95" s="29">
        <f>IF(AQ95="1",BI95,0)</f>
        <v>0</v>
      </c>
      <c r="AD95" s="29">
        <f>IF(AQ95="7",BH95,0)</f>
        <v>0</v>
      </c>
      <c r="AE95" s="29">
        <f>IF(AQ95="7",BI95,0)</f>
        <v>0</v>
      </c>
      <c r="AF95" s="29">
        <f>IF(AQ95="2",BH95,0)</f>
        <v>0</v>
      </c>
      <c r="AG95" s="29">
        <f>IF(AQ95="2",BI95,0)</f>
        <v>0</v>
      </c>
      <c r="AH95" s="29">
        <f>IF(AQ95="0",BJ95,0)</f>
        <v>0</v>
      </c>
      <c r="AI95" s="11" t="s">
        <v>55</v>
      </c>
      <c r="AJ95" s="29">
        <f>IF(AN95=0,J95,0)</f>
        <v>0</v>
      </c>
      <c r="AK95" s="29">
        <f>IF(AN95=12,J95,0)</f>
        <v>0</v>
      </c>
      <c r="AL95" s="29">
        <f>IF(AN95=21,J95,0)</f>
        <v>0</v>
      </c>
      <c r="AN95" s="29">
        <v>21</v>
      </c>
      <c r="AO95" s="29">
        <f>G95*0.699619341</f>
        <v>0</v>
      </c>
      <c r="AP95" s="29">
        <f>G95*(1-0.699619341)</f>
        <v>0</v>
      </c>
      <c r="AQ95" s="31" t="s">
        <v>99</v>
      </c>
      <c r="AV95" s="29">
        <f>AW95+AX95</f>
        <v>0</v>
      </c>
      <c r="AW95" s="29">
        <f>F95*AO95</f>
        <v>0</v>
      </c>
      <c r="AX95" s="29">
        <f>F95*AP95</f>
        <v>0</v>
      </c>
      <c r="AY95" s="31" t="s">
        <v>167</v>
      </c>
      <c r="AZ95" s="31" t="s">
        <v>140</v>
      </c>
      <c r="BA95" s="11" t="s">
        <v>63</v>
      </c>
      <c r="BC95" s="29">
        <f>AW95+AX95</f>
        <v>0</v>
      </c>
      <c r="BD95" s="29">
        <f>G95/(100-BE95)*100</f>
        <v>0</v>
      </c>
      <c r="BE95" s="29">
        <v>0</v>
      </c>
      <c r="BF95" s="29">
        <f>95</f>
        <v>95</v>
      </c>
      <c r="BH95" s="29">
        <f>F95*AO95</f>
        <v>0</v>
      </c>
      <c r="BI95" s="29">
        <f>F95*AP95</f>
        <v>0</v>
      </c>
      <c r="BJ95" s="29">
        <f>F95*G95</f>
        <v>0</v>
      </c>
      <c r="BK95" s="29"/>
      <c r="BL95" s="29">
        <v>766</v>
      </c>
      <c r="BW95" s="29">
        <v>21</v>
      </c>
      <c r="BX95" s="5" t="s">
        <v>199</v>
      </c>
    </row>
    <row r="96" spans="1:76" ht="13.5" customHeight="1" x14ac:dyDescent="0.25">
      <c r="A96" s="32"/>
      <c r="C96" s="86" t="s">
        <v>200</v>
      </c>
      <c r="D96" s="87"/>
      <c r="E96" s="87"/>
      <c r="F96" s="87"/>
      <c r="G96" s="87"/>
      <c r="H96" s="87"/>
      <c r="I96" s="87"/>
      <c r="J96" s="87"/>
      <c r="K96" s="88"/>
    </row>
    <row r="97" spans="1:76" x14ac:dyDescent="0.25">
      <c r="A97" s="32"/>
      <c r="C97" s="34" t="s">
        <v>201</v>
      </c>
      <c r="D97" s="34" t="s">
        <v>51</v>
      </c>
      <c r="F97" s="35">
        <v>10.8</v>
      </c>
      <c r="K97" s="36"/>
    </row>
    <row r="98" spans="1:76" x14ac:dyDescent="0.25">
      <c r="A98" s="32"/>
      <c r="C98" s="34" t="s">
        <v>202</v>
      </c>
      <c r="D98" s="34" t="s">
        <v>51</v>
      </c>
      <c r="F98" s="35">
        <v>6.3</v>
      </c>
      <c r="K98" s="36"/>
    </row>
    <row r="99" spans="1:76" x14ac:dyDescent="0.25">
      <c r="A99" s="32"/>
      <c r="C99" s="34" t="s">
        <v>203</v>
      </c>
      <c r="D99" s="34" t="s">
        <v>51</v>
      </c>
      <c r="F99" s="35">
        <v>2.52</v>
      </c>
      <c r="K99" s="36"/>
    </row>
    <row r="100" spans="1:76" x14ac:dyDescent="0.25">
      <c r="A100" s="32"/>
      <c r="C100" s="34" t="s">
        <v>204</v>
      </c>
      <c r="D100" s="34" t="s">
        <v>51</v>
      </c>
      <c r="F100" s="35">
        <v>10.08</v>
      </c>
      <c r="K100" s="36"/>
    </row>
    <row r="101" spans="1:76" x14ac:dyDescent="0.25">
      <c r="A101" s="32"/>
      <c r="C101" s="34" t="s">
        <v>193</v>
      </c>
      <c r="D101" s="34" t="s">
        <v>51</v>
      </c>
      <c r="F101" s="35">
        <v>1.125</v>
      </c>
      <c r="K101" s="36"/>
    </row>
    <row r="102" spans="1:76" x14ac:dyDescent="0.25">
      <c r="A102" s="32"/>
      <c r="C102" s="34" t="s">
        <v>204</v>
      </c>
      <c r="D102" s="34" t="s">
        <v>51</v>
      </c>
      <c r="F102" s="35">
        <v>10.08</v>
      </c>
      <c r="K102" s="36"/>
    </row>
    <row r="103" spans="1:76" x14ac:dyDescent="0.25">
      <c r="A103" s="32"/>
      <c r="C103" s="34" t="s">
        <v>203</v>
      </c>
      <c r="D103" s="34" t="s">
        <v>51</v>
      </c>
      <c r="F103" s="35">
        <v>2.52</v>
      </c>
      <c r="K103" s="36"/>
    </row>
    <row r="104" spans="1:76" x14ac:dyDescent="0.25">
      <c r="A104" s="32"/>
      <c r="C104" s="34" t="s">
        <v>205</v>
      </c>
      <c r="D104" s="34" t="s">
        <v>51</v>
      </c>
      <c r="F104" s="35">
        <v>3.15</v>
      </c>
      <c r="K104" s="36"/>
    </row>
    <row r="105" spans="1:76" x14ac:dyDescent="0.25">
      <c r="A105" s="32"/>
      <c r="C105" s="34" t="s">
        <v>194</v>
      </c>
      <c r="D105" s="34" t="s">
        <v>51</v>
      </c>
      <c r="F105" s="35">
        <v>4.2750000000000004</v>
      </c>
      <c r="K105" s="36"/>
    </row>
    <row r="106" spans="1:76" x14ac:dyDescent="0.25">
      <c r="A106" s="32"/>
      <c r="C106" s="34" t="s">
        <v>201</v>
      </c>
      <c r="D106" s="34" t="s">
        <v>51</v>
      </c>
      <c r="F106" s="35">
        <v>10.8</v>
      </c>
      <c r="K106" s="36"/>
    </row>
    <row r="107" spans="1:76" x14ac:dyDescent="0.25">
      <c r="A107" s="32"/>
      <c r="C107" s="34" t="s">
        <v>206</v>
      </c>
      <c r="D107" s="34" t="s">
        <v>51</v>
      </c>
      <c r="F107" s="35">
        <v>55.44</v>
      </c>
      <c r="K107" s="36"/>
    </row>
    <row r="108" spans="1:76" x14ac:dyDescent="0.25">
      <c r="A108" s="2" t="s">
        <v>207</v>
      </c>
      <c r="B108" s="3" t="s">
        <v>208</v>
      </c>
      <c r="C108" s="84" t="s">
        <v>209</v>
      </c>
      <c r="D108" s="85"/>
      <c r="E108" s="3" t="s">
        <v>160</v>
      </c>
      <c r="F108" s="29">
        <v>6.6590999999999996</v>
      </c>
      <c r="G108" s="29">
        <v>0</v>
      </c>
      <c r="H108" s="29">
        <f>F108*AO108</f>
        <v>0</v>
      </c>
      <c r="I108" s="29">
        <f>F108*AP108</f>
        <v>0</v>
      </c>
      <c r="J108" s="29">
        <f>F108*G108</f>
        <v>0</v>
      </c>
      <c r="K108" s="30" t="s">
        <v>60</v>
      </c>
      <c r="Z108" s="29">
        <f>IF(AQ108="5",BJ108,0)</f>
        <v>0</v>
      </c>
      <c r="AB108" s="29">
        <f>IF(AQ108="1",BH108,0)</f>
        <v>0</v>
      </c>
      <c r="AC108" s="29">
        <f>IF(AQ108="1",BI108,0)</f>
        <v>0</v>
      </c>
      <c r="AD108" s="29">
        <f>IF(AQ108="7",BH108,0)</f>
        <v>0</v>
      </c>
      <c r="AE108" s="29">
        <f>IF(AQ108="7",BI108,0)</f>
        <v>0</v>
      </c>
      <c r="AF108" s="29">
        <f>IF(AQ108="2",BH108,0)</f>
        <v>0</v>
      </c>
      <c r="AG108" s="29">
        <f>IF(AQ108="2",BI108,0)</f>
        <v>0</v>
      </c>
      <c r="AH108" s="29">
        <f>IF(AQ108="0",BJ108,0)</f>
        <v>0</v>
      </c>
      <c r="AI108" s="11" t="s">
        <v>55</v>
      </c>
      <c r="AJ108" s="29">
        <f>IF(AN108=0,J108,0)</f>
        <v>0</v>
      </c>
      <c r="AK108" s="29">
        <f>IF(AN108=12,J108,0)</f>
        <v>0</v>
      </c>
      <c r="AL108" s="29">
        <f>IF(AN108=21,J108,0)</f>
        <v>0</v>
      </c>
      <c r="AN108" s="29">
        <v>21</v>
      </c>
      <c r="AO108" s="29">
        <f>G108*0</f>
        <v>0</v>
      </c>
      <c r="AP108" s="29">
        <f>G108*(1-0)</f>
        <v>0</v>
      </c>
      <c r="AQ108" s="31" t="s">
        <v>87</v>
      </c>
      <c r="AV108" s="29">
        <f>AW108+AX108</f>
        <v>0</v>
      </c>
      <c r="AW108" s="29">
        <f>F108*AO108</f>
        <v>0</v>
      </c>
      <c r="AX108" s="29">
        <f>F108*AP108</f>
        <v>0</v>
      </c>
      <c r="AY108" s="31" t="s">
        <v>167</v>
      </c>
      <c r="AZ108" s="31" t="s">
        <v>140</v>
      </c>
      <c r="BA108" s="11" t="s">
        <v>63</v>
      </c>
      <c r="BC108" s="29">
        <f>AW108+AX108</f>
        <v>0</v>
      </c>
      <c r="BD108" s="29">
        <f>G108/(100-BE108)*100</f>
        <v>0</v>
      </c>
      <c r="BE108" s="29">
        <v>0</v>
      </c>
      <c r="BF108" s="29">
        <f>108</f>
        <v>108</v>
      </c>
      <c r="BH108" s="29">
        <f>F108*AO108</f>
        <v>0</v>
      </c>
      <c r="BI108" s="29">
        <f>F108*AP108</f>
        <v>0</v>
      </c>
      <c r="BJ108" s="29">
        <f>F108*G108</f>
        <v>0</v>
      </c>
      <c r="BK108" s="29"/>
      <c r="BL108" s="29">
        <v>766</v>
      </c>
      <c r="BW108" s="29">
        <v>21</v>
      </c>
      <c r="BX108" s="5" t="s">
        <v>209</v>
      </c>
    </row>
    <row r="109" spans="1:76" x14ac:dyDescent="0.25">
      <c r="A109" s="32"/>
      <c r="C109" s="34" t="s">
        <v>210</v>
      </c>
      <c r="D109" s="34" t="s">
        <v>51</v>
      </c>
      <c r="F109" s="35">
        <v>6.6590999999999996</v>
      </c>
      <c r="K109" s="36"/>
    </row>
    <row r="110" spans="1:76" x14ac:dyDescent="0.25">
      <c r="A110" s="25" t="s">
        <v>51</v>
      </c>
      <c r="B110" s="26" t="s">
        <v>211</v>
      </c>
      <c r="C110" s="93" t="s">
        <v>212</v>
      </c>
      <c r="D110" s="94"/>
      <c r="E110" s="27" t="s">
        <v>32</v>
      </c>
      <c r="F110" s="27" t="s">
        <v>32</v>
      </c>
      <c r="G110" s="27" t="s">
        <v>32</v>
      </c>
      <c r="H110" s="1">
        <f>SUM(H111:H138)</f>
        <v>0</v>
      </c>
      <c r="I110" s="1">
        <f>SUM(I111:I138)</f>
        <v>0</v>
      </c>
      <c r="J110" s="1">
        <f>SUM(J111:J138)</f>
        <v>0</v>
      </c>
      <c r="K110" s="28" t="s">
        <v>51</v>
      </c>
      <c r="AI110" s="11" t="s">
        <v>55</v>
      </c>
      <c r="AS110" s="1">
        <f>SUM(AJ111:AJ138)</f>
        <v>0</v>
      </c>
      <c r="AT110" s="1">
        <f>SUM(AK111:AK138)</f>
        <v>0</v>
      </c>
      <c r="AU110" s="1">
        <f>SUM(AL111:AL138)</f>
        <v>0</v>
      </c>
    </row>
    <row r="111" spans="1:76" x14ac:dyDescent="0.25">
      <c r="A111" s="2" t="s">
        <v>213</v>
      </c>
      <c r="B111" s="3" t="s">
        <v>214</v>
      </c>
      <c r="C111" s="84" t="s">
        <v>215</v>
      </c>
      <c r="D111" s="85"/>
      <c r="E111" s="3" t="s">
        <v>59</v>
      </c>
      <c r="F111" s="29">
        <v>1.92</v>
      </c>
      <c r="G111" s="29">
        <v>0</v>
      </c>
      <c r="H111" s="29">
        <f>F111*AO111</f>
        <v>0</v>
      </c>
      <c r="I111" s="29">
        <f>F111*AP111</f>
        <v>0</v>
      </c>
      <c r="J111" s="29">
        <f>F111*G111</f>
        <v>0</v>
      </c>
      <c r="K111" s="30" t="s">
        <v>60</v>
      </c>
      <c r="Z111" s="29">
        <f>IF(AQ111="5",BJ111,0)</f>
        <v>0</v>
      </c>
      <c r="AB111" s="29">
        <f>IF(AQ111="1",BH111,0)</f>
        <v>0</v>
      </c>
      <c r="AC111" s="29">
        <f>IF(AQ111="1",BI111,0)</f>
        <v>0</v>
      </c>
      <c r="AD111" s="29">
        <f>IF(AQ111="7",BH111,0)</f>
        <v>0</v>
      </c>
      <c r="AE111" s="29">
        <f>IF(AQ111="7",BI111,0)</f>
        <v>0</v>
      </c>
      <c r="AF111" s="29">
        <f>IF(AQ111="2",BH111,0)</f>
        <v>0</v>
      </c>
      <c r="AG111" s="29">
        <f>IF(AQ111="2",BI111,0)</f>
        <v>0</v>
      </c>
      <c r="AH111" s="29">
        <f>IF(AQ111="0",BJ111,0)</f>
        <v>0</v>
      </c>
      <c r="AI111" s="11" t="s">
        <v>55</v>
      </c>
      <c r="AJ111" s="29">
        <f>IF(AN111=0,J111,0)</f>
        <v>0</v>
      </c>
      <c r="AK111" s="29">
        <f>IF(AN111=12,J111,0)</f>
        <v>0</v>
      </c>
      <c r="AL111" s="29">
        <f>IF(AN111=21,J111,0)</f>
        <v>0</v>
      </c>
      <c r="AN111" s="29">
        <v>21</v>
      </c>
      <c r="AO111" s="29">
        <f>G111*0</f>
        <v>0</v>
      </c>
      <c r="AP111" s="29">
        <f>G111*(1-0)</f>
        <v>0</v>
      </c>
      <c r="AQ111" s="31" t="s">
        <v>99</v>
      </c>
      <c r="AV111" s="29">
        <f>AW111+AX111</f>
        <v>0</v>
      </c>
      <c r="AW111" s="29">
        <f>F111*AO111</f>
        <v>0</v>
      </c>
      <c r="AX111" s="29">
        <f>F111*AP111</f>
        <v>0</v>
      </c>
      <c r="AY111" s="31" t="s">
        <v>216</v>
      </c>
      <c r="AZ111" s="31" t="s">
        <v>217</v>
      </c>
      <c r="BA111" s="11" t="s">
        <v>63</v>
      </c>
      <c r="BC111" s="29">
        <f>AW111+AX111</f>
        <v>0</v>
      </c>
      <c r="BD111" s="29">
        <f>G111/(100-BE111)*100</f>
        <v>0</v>
      </c>
      <c r="BE111" s="29">
        <v>0</v>
      </c>
      <c r="BF111" s="29">
        <f>111</f>
        <v>111</v>
      </c>
      <c r="BH111" s="29">
        <f>F111*AO111</f>
        <v>0</v>
      </c>
      <c r="BI111" s="29">
        <f>F111*AP111</f>
        <v>0</v>
      </c>
      <c r="BJ111" s="29">
        <f>F111*G111</f>
        <v>0</v>
      </c>
      <c r="BK111" s="29"/>
      <c r="BL111" s="29">
        <v>771</v>
      </c>
      <c r="BW111" s="29">
        <v>21</v>
      </c>
      <c r="BX111" s="5" t="s">
        <v>215</v>
      </c>
    </row>
    <row r="112" spans="1:76" x14ac:dyDescent="0.25">
      <c r="A112" s="32"/>
      <c r="C112" s="34" t="s">
        <v>218</v>
      </c>
      <c r="D112" s="34" t="s">
        <v>219</v>
      </c>
      <c r="F112" s="35">
        <v>1.8</v>
      </c>
      <c r="K112" s="36"/>
    </row>
    <row r="113" spans="1:76" x14ac:dyDescent="0.25">
      <c r="A113" s="32"/>
      <c r="C113" s="34" t="s">
        <v>220</v>
      </c>
      <c r="D113" s="34" t="s">
        <v>221</v>
      </c>
      <c r="F113" s="35">
        <v>0.12</v>
      </c>
      <c r="K113" s="36"/>
    </row>
    <row r="114" spans="1:76" x14ac:dyDescent="0.25">
      <c r="A114" s="2" t="s">
        <v>222</v>
      </c>
      <c r="B114" s="3" t="s">
        <v>223</v>
      </c>
      <c r="C114" s="84" t="s">
        <v>224</v>
      </c>
      <c r="D114" s="85"/>
      <c r="E114" s="3" t="s">
        <v>59</v>
      </c>
      <c r="F114" s="29">
        <v>1.8</v>
      </c>
      <c r="G114" s="29">
        <v>0</v>
      </c>
      <c r="H114" s="29">
        <f>F114*AO114</f>
        <v>0</v>
      </c>
      <c r="I114" s="29">
        <f>F114*AP114</f>
        <v>0</v>
      </c>
      <c r="J114" s="29">
        <f>F114*G114</f>
        <v>0</v>
      </c>
      <c r="K114" s="30" t="s">
        <v>60</v>
      </c>
      <c r="Z114" s="29">
        <f>IF(AQ114="5",BJ114,0)</f>
        <v>0</v>
      </c>
      <c r="AB114" s="29">
        <f>IF(AQ114="1",BH114,0)</f>
        <v>0</v>
      </c>
      <c r="AC114" s="29">
        <f>IF(AQ114="1",BI114,0)</f>
        <v>0</v>
      </c>
      <c r="AD114" s="29">
        <f>IF(AQ114="7",BH114,0)</f>
        <v>0</v>
      </c>
      <c r="AE114" s="29">
        <f>IF(AQ114="7",BI114,0)</f>
        <v>0</v>
      </c>
      <c r="AF114" s="29">
        <f>IF(AQ114="2",BH114,0)</f>
        <v>0</v>
      </c>
      <c r="AG114" s="29">
        <f>IF(AQ114="2",BI114,0)</f>
        <v>0</v>
      </c>
      <c r="AH114" s="29">
        <f>IF(AQ114="0",BJ114,0)</f>
        <v>0</v>
      </c>
      <c r="AI114" s="11" t="s">
        <v>55</v>
      </c>
      <c r="AJ114" s="29">
        <f>IF(AN114=0,J114,0)</f>
        <v>0</v>
      </c>
      <c r="AK114" s="29">
        <f>IF(AN114=12,J114,0)</f>
        <v>0</v>
      </c>
      <c r="AL114" s="29">
        <f>IF(AN114=21,J114,0)</f>
        <v>0</v>
      </c>
      <c r="AN114" s="29">
        <v>21</v>
      </c>
      <c r="AO114" s="29">
        <f>G114*0</f>
        <v>0</v>
      </c>
      <c r="AP114" s="29">
        <f>G114*(1-0)</f>
        <v>0</v>
      </c>
      <c r="AQ114" s="31" t="s">
        <v>99</v>
      </c>
      <c r="AV114" s="29">
        <f>AW114+AX114</f>
        <v>0</v>
      </c>
      <c r="AW114" s="29">
        <f>F114*AO114</f>
        <v>0</v>
      </c>
      <c r="AX114" s="29">
        <f>F114*AP114</f>
        <v>0</v>
      </c>
      <c r="AY114" s="31" t="s">
        <v>216</v>
      </c>
      <c r="AZ114" s="31" t="s">
        <v>217</v>
      </c>
      <c r="BA114" s="11" t="s">
        <v>63</v>
      </c>
      <c r="BC114" s="29">
        <f>AW114+AX114</f>
        <v>0</v>
      </c>
      <c r="BD114" s="29">
        <f>G114/(100-BE114)*100</f>
        <v>0</v>
      </c>
      <c r="BE114" s="29">
        <v>0</v>
      </c>
      <c r="BF114" s="29">
        <f>114</f>
        <v>114</v>
      </c>
      <c r="BH114" s="29">
        <f>F114*AO114</f>
        <v>0</v>
      </c>
      <c r="BI114" s="29">
        <f>F114*AP114</f>
        <v>0</v>
      </c>
      <c r="BJ114" s="29">
        <f>F114*G114</f>
        <v>0</v>
      </c>
      <c r="BK114" s="29"/>
      <c r="BL114" s="29">
        <v>771</v>
      </c>
      <c r="BW114" s="29">
        <v>21</v>
      </c>
      <c r="BX114" s="5" t="s">
        <v>224</v>
      </c>
    </row>
    <row r="115" spans="1:76" x14ac:dyDescent="0.25">
      <c r="A115" s="32"/>
      <c r="C115" s="34" t="s">
        <v>218</v>
      </c>
      <c r="D115" s="34" t="s">
        <v>51</v>
      </c>
      <c r="F115" s="35">
        <v>1.8</v>
      </c>
      <c r="K115" s="36"/>
    </row>
    <row r="116" spans="1:76" ht="25.5" x14ac:dyDescent="0.25">
      <c r="A116" s="32"/>
      <c r="B116" s="37" t="s">
        <v>69</v>
      </c>
      <c r="C116" s="86" t="s">
        <v>225</v>
      </c>
      <c r="D116" s="87"/>
      <c r="E116" s="87"/>
      <c r="F116" s="87"/>
      <c r="G116" s="87"/>
      <c r="H116" s="87"/>
      <c r="I116" s="87"/>
      <c r="J116" s="87"/>
      <c r="K116" s="88"/>
      <c r="BX116" s="33" t="s">
        <v>225</v>
      </c>
    </row>
    <row r="117" spans="1:76" x14ac:dyDescent="0.25">
      <c r="A117" s="2" t="s">
        <v>226</v>
      </c>
      <c r="B117" s="3" t="s">
        <v>227</v>
      </c>
      <c r="C117" s="84" t="s">
        <v>228</v>
      </c>
      <c r="D117" s="85"/>
      <c r="E117" s="3" t="s">
        <v>59</v>
      </c>
      <c r="F117" s="29">
        <v>1.8</v>
      </c>
      <c r="G117" s="29">
        <v>0</v>
      </c>
      <c r="H117" s="29">
        <f>F117*AO117</f>
        <v>0</v>
      </c>
      <c r="I117" s="29">
        <f>F117*AP117</f>
        <v>0</v>
      </c>
      <c r="J117" s="29">
        <f>F117*G117</f>
        <v>0</v>
      </c>
      <c r="K117" s="30" t="s">
        <v>60</v>
      </c>
      <c r="Z117" s="29">
        <f>IF(AQ117="5",BJ117,0)</f>
        <v>0</v>
      </c>
      <c r="AB117" s="29">
        <f>IF(AQ117="1",BH117,0)</f>
        <v>0</v>
      </c>
      <c r="AC117" s="29">
        <f>IF(AQ117="1",BI117,0)</f>
        <v>0</v>
      </c>
      <c r="AD117" s="29">
        <f>IF(AQ117="7",BH117,0)</f>
        <v>0</v>
      </c>
      <c r="AE117" s="29">
        <f>IF(AQ117="7",BI117,0)</f>
        <v>0</v>
      </c>
      <c r="AF117" s="29">
        <f>IF(AQ117="2",BH117,0)</f>
        <v>0</v>
      </c>
      <c r="AG117" s="29">
        <f>IF(AQ117="2",BI117,0)</f>
        <v>0</v>
      </c>
      <c r="AH117" s="29">
        <f>IF(AQ117="0",BJ117,0)</f>
        <v>0</v>
      </c>
      <c r="AI117" s="11" t="s">
        <v>55</v>
      </c>
      <c r="AJ117" s="29">
        <f>IF(AN117=0,J117,0)</f>
        <v>0</v>
      </c>
      <c r="AK117" s="29">
        <f>IF(AN117=12,J117,0)</f>
        <v>0</v>
      </c>
      <c r="AL117" s="29">
        <f>IF(AN117=21,J117,0)</f>
        <v>0</v>
      </c>
      <c r="AN117" s="29">
        <v>21</v>
      </c>
      <c r="AO117" s="29">
        <f>G117*0.427050998</f>
        <v>0</v>
      </c>
      <c r="AP117" s="29">
        <f>G117*(1-0.427050998)</f>
        <v>0</v>
      </c>
      <c r="AQ117" s="31" t="s">
        <v>99</v>
      </c>
      <c r="AV117" s="29">
        <f>AW117+AX117</f>
        <v>0</v>
      </c>
      <c r="AW117" s="29">
        <f>F117*AO117</f>
        <v>0</v>
      </c>
      <c r="AX117" s="29">
        <f>F117*AP117</f>
        <v>0</v>
      </c>
      <c r="AY117" s="31" t="s">
        <v>216</v>
      </c>
      <c r="AZ117" s="31" t="s">
        <v>217</v>
      </c>
      <c r="BA117" s="11" t="s">
        <v>63</v>
      </c>
      <c r="BC117" s="29">
        <f>AW117+AX117</f>
        <v>0</v>
      </c>
      <c r="BD117" s="29">
        <f>G117/(100-BE117)*100</f>
        <v>0</v>
      </c>
      <c r="BE117" s="29">
        <v>0</v>
      </c>
      <c r="BF117" s="29">
        <f>117</f>
        <v>117</v>
      </c>
      <c r="BH117" s="29">
        <f>F117*AO117</f>
        <v>0</v>
      </c>
      <c r="BI117" s="29">
        <f>F117*AP117</f>
        <v>0</v>
      </c>
      <c r="BJ117" s="29">
        <f>F117*G117</f>
        <v>0</v>
      </c>
      <c r="BK117" s="29"/>
      <c r="BL117" s="29">
        <v>771</v>
      </c>
      <c r="BW117" s="29">
        <v>21</v>
      </c>
      <c r="BX117" s="5" t="s">
        <v>228</v>
      </c>
    </row>
    <row r="118" spans="1:76" ht="13.5" customHeight="1" x14ac:dyDescent="0.25">
      <c r="A118" s="32"/>
      <c r="C118" s="86" t="s">
        <v>229</v>
      </c>
      <c r="D118" s="87"/>
      <c r="E118" s="87"/>
      <c r="F118" s="87"/>
      <c r="G118" s="87"/>
      <c r="H118" s="87"/>
      <c r="I118" s="87"/>
      <c r="J118" s="87"/>
      <c r="K118" s="88"/>
    </row>
    <row r="119" spans="1:76" x14ac:dyDescent="0.25">
      <c r="A119" s="32"/>
      <c r="C119" s="34" t="s">
        <v>218</v>
      </c>
      <c r="D119" s="34" t="s">
        <v>51</v>
      </c>
      <c r="F119" s="35">
        <v>1.8</v>
      </c>
      <c r="K119" s="36"/>
    </row>
    <row r="120" spans="1:76" x14ac:dyDescent="0.25">
      <c r="A120" s="32"/>
      <c r="B120" s="37" t="s">
        <v>69</v>
      </c>
      <c r="C120" s="86" t="s">
        <v>230</v>
      </c>
      <c r="D120" s="87"/>
      <c r="E120" s="87"/>
      <c r="F120" s="87"/>
      <c r="G120" s="87"/>
      <c r="H120" s="87"/>
      <c r="I120" s="87"/>
      <c r="J120" s="87"/>
      <c r="K120" s="88"/>
      <c r="BX120" s="33" t="s">
        <v>230</v>
      </c>
    </row>
    <row r="121" spans="1:76" x14ac:dyDescent="0.25">
      <c r="A121" s="2" t="s">
        <v>231</v>
      </c>
      <c r="B121" s="3" t="s">
        <v>232</v>
      </c>
      <c r="C121" s="84" t="s">
        <v>233</v>
      </c>
      <c r="D121" s="85"/>
      <c r="E121" s="3" t="s">
        <v>59</v>
      </c>
      <c r="F121" s="29">
        <v>1.8</v>
      </c>
      <c r="G121" s="29">
        <v>0</v>
      </c>
      <c r="H121" s="29">
        <f>F121*AO121</f>
        <v>0</v>
      </c>
      <c r="I121" s="29">
        <f>F121*AP121</f>
        <v>0</v>
      </c>
      <c r="J121" s="29">
        <f>F121*G121</f>
        <v>0</v>
      </c>
      <c r="K121" s="30" t="s">
        <v>60</v>
      </c>
      <c r="Z121" s="29">
        <f>IF(AQ121="5",BJ121,0)</f>
        <v>0</v>
      </c>
      <c r="AB121" s="29">
        <f>IF(AQ121="1",BH121,0)</f>
        <v>0</v>
      </c>
      <c r="AC121" s="29">
        <f>IF(AQ121="1",BI121,0)</f>
        <v>0</v>
      </c>
      <c r="AD121" s="29">
        <f>IF(AQ121="7",BH121,0)</f>
        <v>0</v>
      </c>
      <c r="AE121" s="29">
        <f>IF(AQ121="7",BI121,0)</f>
        <v>0</v>
      </c>
      <c r="AF121" s="29">
        <f>IF(AQ121="2",BH121,0)</f>
        <v>0</v>
      </c>
      <c r="AG121" s="29">
        <f>IF(AQ121="2",BI121,0)</f>
        <v>0</v>
      </c>
      <c r="AH121" s="29">
        <f>IF(AQ121="0",BJ121,0)</f>
        <v>0</v>
      </c>
      <c r="AI121" s="11" t="s">
        <v>55</v>
      </c>
      <c r="AJ121" s="29">
        <f>IF(AN121=0,J121,0)</f>
        <v>0</v>
      </c>
      <c r="AK121" s="29">
        <f>IF(AN121=12,J121,0)</f>
        <v>0</v>
      </c>
      <c r="AL121" s="29">
        <f>IF(AN121=21,J121,0)</f>
        <v>0</v>
      </c>
      <c r="AN121" s="29">
        <v>21</v>
      </c>
      <c r="AO121" s="29">
        <f>G121*0</f>
        <v>0</v>
      </c>
      <c r="AP121" s="29">
        <f>G121*(1-0)</f>
        <v>0</v>
      </c>
      <c r="AQ121" s="31" t="s">
        <v>99</v>
      </c>
      <c r="AV121" s="29">
        <f>AW121+AX121</f>
        <v>0</v>
      </c>
      <c r="AW121" s="29">
        <f>F121*AO121</f>
        <v>0</v>
      </c>
      <c r="AX121" s="29">
        <f>F121*AP121</f>
        <v>0</v>
      </c>
      <c r="AY121" s="31" t="s">
        <v>216</v>
      </c>
      <c r="AZ121" s="31" t="s">
        <v>217</v>
      </c>
      <c r="BA121" s="11" t="s">
        <v>63</v>
      </c>
      <c r="BC121" s="29">
        <f>AW121+AX121</f>
        <v>0</v>
      </c>
      <c r="BD121" s="29">
        <f>G121/(100-BE121)*100</f>
        <v>0</v>
      </c>
      <c r="BE121" s="29">
        <v>0</v>
      </c>
      <c r="BF121" s="29">
        <f>121</f>
        <v>121</v>
      </c>
      <c r="BH121" s="29">
        <f>F121*AO121</f>
        <v>0</v>
      </c>
      <c r="BI121" s="29">
        <f>F121*AP121</f>
        <v>0</v>
      </c>
      <c r="BJ121" s="29">
        <f>F121*G121</f>
        <v>0</v>
      </c>
      <c r="BK121" s="29"/>
      <c r="BL121" s="29">
        <v>771</v>
      </c>
      <c r="BW121" s="29">
        <v>21</v>
      </c>
      <c r="BX121" s="5" t="s">
        <v>233</v>
      </c>
    </row>
    <row r="122" spans="1:76" x14ac:dyDescent="0.25">
      <c r="A122" s="32"/>
      <c r="C122" s="34" t="s">
        <v>218</v>
      </c>
      <c r="D122" s="34" t="s">
        <v>234</v>
      </c>
      <c r="F122" s="35">
        <v>1.8</v>
      </c>
      <c r="K122" s="36"/>
    </row>
    <row r="123" spans="1:76" ht="38.25" x14ac:dyDescent="0.25">
      <c r="A123" s="32"/>
      <c r="B123" s="37" t="s">
        <v>69</v>
      </c>
      <c r="C123" s="86" t="s">
        <v>235</v>
      </c>
      <c r="D123" s="87"/>
      <c r="E123" s="87"/>
      <c r="F123" s="87"/>
      <c r="G123" s="87"/>
      <c r="H123" s="87"/>
      <c r="I123" s="87"/>
      <c r="J123" s="87"/>
      <c r="K123" s="88"/>
      <c r="BX123" s="33" t="s">
        <v>235</v>
      </c>
    </row>
    <row r="124" spans="1:76" x14ac:dyDescent="0.25">
      <c r="A124" s="2" t="s">
        <v>236</v>
      </c>
      <c r="B124" s="3" t="s">
        <v>237</v>
      </c>
      <c r="C124" s="84" t="s">
        <v>238</v>
      </c>
      <c r="D124" s="85"/>
      <c r="E124" s="3" t="s">
        <v>84</v>
      </c>
      <c r="F124" s="29">
        <v>1.2</v>
      </c>
      <c r="G124" s="29">
        <v>0</v>
      </c>
      <c r="H124" s="29">
        <f>F124*AO124</f>
        <v>0</v>
      </c>
      <c r="I124" s="29">
        <f>F124*AP124</f>
        <v>0</v>
      </c>
      <c r="J124" s="29">
        <f>F124*G124</f>
        <v>0</v>
      </c>
      <c r="K124" s="30" t="s">
        <v>60</v>
      </c>
      <c r="Z124" s="29">
        <f>IF(AQ124="5",BJ124,0)</f>
        <v>0</v>
      </c>
      <c r="AB124" s="29">
        <f>IF(AQ124="1",BH124,0)</f>
        <v>0</v>
      </c>
      <c r="AC124" s="29">
        <f>IF(AQ124="1",BI124,0)</f>
        <v>0</v>
      </c>
      <c r="AD124" s="29">
        <f>IF(AQ124="7",BH124,0)</f>
        <v>0</v>
      </c>
      <c r="AE124" s="29">
        <f>IF(AQ124="7",BI124,0)</f>
        <v>0</v>
      </c>
      <c r="AF124" s="29">
        <f>IF(AQ124="2",BH124,0)</f>
        <v>0</v>
      </c>
      <c r="AG124" s="29">
        <f>IF(AQ124="2",BI124,0)</f>
        <v>0</v>
      </c>
      <c r="AH124" s="29">
        <f>IF(AQ124="0",BJ124,0)</f>
        <v>0</v>
      </c>
      <c r="AI124" s="11" t="s">
        <v>55</v>
      </c>
      <c r="AJ124" s="29">
        <f>IF(AN124=0,J124,0)</f>
        <v>0</v>
      </c>
      <c r="AK124" s="29">
        <f>IF(AN124=12,J124,0)</f>
        <v>0</v>
      </c>
      <c r="AL124" s="29">
        <f>IF(AN124=21,J124,0)</f>
        <v>0</v>
      </c>
      <c r="AN124" s="29">
        <v>21</v>
      </c>
      <c r="AO124" s="29">
        <f>G124*0</f>
        <v>0</v>
      </c>
      <c r="AP124" s="29">
        <f>G124*(1-0)</f>
        <v>0</v>
      </c>
      <c r="AQ124" s="31" t="s">
        <v>99</v>
      </c>
      <c r="AV124" s="29">
        <f>AW124+AX124</f>
        <v>0</v>
      </c>
      <c r="AW124" s="29">
        <f>F124*AO124</f>
        <v>0</v>
      </c>
      <c r="AX124" s="29">
        <f>F124*AP124</f>
        <v>0</v>
      </c>
      <c r="AY124" s="31" t="s">
        <v>216</v>
      </c>
      <c r="AZ124" s="31" t="s">
        <v>217</v>
      </c>
      <c r="BA124" s="11" t="s">
        <v>63</v>
      </c>
      <c r="BC124" s="29">
        <f>AW124+AX124</f>
        <v>0</v>
      </c>
      <c r="BD124" s="29">
        <f>G124/(100-BE124)*100</f>
        <v>0</v>
      </c>
      <c r="BE124" s="29">
        <v>0</v>
      </c>
      <c r="BF124" s="29">
        <f>124</f>
        <v>124</v>
      </c>
      <c r="BH124" s="29">
        <f>F124*AO124</f>
        <v>0</v>
      </c>
      <c r="BI124" s="29">
        <f>F124*AP124</f>
        <v>0</v>
      </c>
      <c r="BJ124" s="29">
        <f>F124*G124</f>
        <v>0</v>
      </c>
      <c r="BK124" s="29"/>
      <c r="BL124" s="29">
        <v>771</v>
      </c>
      <c r="BW124" s="29">
        <v>21</v>
      </c>
      <c r="BX124" s="5" t="s">
        <v>238</v>
      </c>
    </row>
    <row r="125" spans="1:76" x14ac:dyDescent="0.25">
      <c r="A125" s="32"/>
      <c r="C125" s="34" t="s">
        <v>239</v>
      </c>
      <c r="D125" s="34" t="s">
        <v>51</v>
      </c>
      <c r="F125" s="35">
        <v>1.2</v>
      </c>
      <c r="K125" s="36"/>
    </row>
    <row r="126" spans="1:76" ht="25.5" x14ac:dyDescent="0.25">
      <c r="A126" s="32"/>
      <c r="B126" s="37" t="s">
        <v>69</v>
      </c>
      <c r="C126" s="86" t="s">
        <v>240</v>
      </c>
      <c r="D126" s="87"/>
      <c r="E126" s="87"/>
      <c r="F126" s="87"/>
      <c r="G126" s="87"/>
      <c r="H126" s="87"/>
      <c r="I126" s="87"/>
      <c r="J126" s="87"/>
      <c r="K126" s="88"/>
      <c r="BX126" s="33" t="s">
        <v>240</v>
      </c>
    </row>
    <row r="127" spans="1:76" x14ac:dyDescent="0.25">
      <c r="A127" s="2" t="s">
        <v>241</v>
      </c>
      <c r="B127" s="3" t="s">
        <v>242</v>
      </c>
      <c r="C127" s="84" t="s">
        <v>243</v>
      </c>
      <c r="D127" s="85"/>
      <c r="E127" s="3" t="s">
        <v>59</v>
      </c>
      <c r="F127" s="29">
        <v>1.8</v>
      </c>
      <c r="G127" s="29">
        <v>0</v>
      </c>
      <c r="H127" s="29">
        <f>F127*AO127</f>
        <v>0</v>
      </c>
      <c r="I127" s="29">
        <f>F127*AP127</f>
        <v>0</v>
      </c>
      <c r="J127" s="29">
        <f>F127*G127</f>
        <v>0</v>
      </c>
      <c r="K127" s="30" t="s">
        <v>60</v>
      </c>
      <c r="Z127" s="29">
        <f>IF(AQ127="5",BJ127,0)</f>
        <v>0</v>
      </c>
      <c r="AB127" s="29">
        <f>IF(AQ127="1",BH127,0)</f>
        <v>0</v>
      </c>
      <c r="AC127" s="29">
        <f>IF(AQ127="1",BI127,0)</f>
        <v>0</v>
      </c>
      <c r="AD127" s="29">
        <f>IF(AQ127="7",BH127,0)</f>
        <v>0</v>
      </c>
      <c r="AE127" s="29">
        <f>IF(AQ127="7",BI127,0)</f>
        <v>0</v>
      </c>
      <c r="AF127" s="29">
        <f>IF(AQ127="2",BH127,0)</f>
        <v>0</v>
      </c>
      <c r="AG127" s="29">
        <f>IF(AQ127="2",BI127,0)</f>
        <v>0</v>
      </c>
      <c r="AH127" s="29">
        <f>IF(AQ127="0",BJ127,0)</f>
        <v>0</v>
      </c>
      <c r="AI127" s="11" t="s">
        <v>55</v>
      </c>
      <c r="AJ127" s="29">
        <f>IF(AN127=0,J127,0)</f>
        <v>0</v>
      </c>
      <c r="AK127" s="29">
        <f>IF(AN127=12,J127,0)</f>
        <v>0</v>
      </c>
      <c r="AL127" s="29">
        <f>IF(AN127=21,J127,0)</f>
        <v>0</v>
      </c>
      <c r="AN127" s="29">
        <v>21</v>
      </c>
      <c r="AO127" s="29">
        <f>G127*0</f>
        <v>0</v>
      </c>
      <c r="AP127" s="29">
        <f>G127*(1-0)</f>
        <v>0</v>
      </c>
      <c r="AQ127" s="31" t="s">
        <v>99</v>
      </c>
      <c r="AV127" s="29">
        <f>AW127+AX127</f>
        <v>0</v>
      </c>
      <c r="AW127" s="29">
        <f>F127*AO127</f>
        <v>0</v>
      </c>
      <c r="AX127" s="29">
        <f>F127*AP127</f>
        <v>0</v>
      </c>
      <c r="AY127" s="31" t="s">
        <v>216</v>
      </c>
      <c r="AZ127" s="31" t="s">
        <v>217</v>
      </c>
      <c r="BA127" s="11" t="s">
        <v>63</v>
      </c>
      <c r="BC127" s="29">
        <f>AW127+AX127</f>
        <v>0</v>
      </c>
      <c r="BD127" s="29">
        <f>G127/(100-BE127)*100</f>
        <v>0</v>
      </c>
      <c r="BE127" s="29">
        <v>0</v>
      </c>
      <c r="BF127" s="29">
        <f>127</f>
        <v>127</v>
      </c>
      <c r="BH127" s="29">
        <f>F127*AO127</f>
        <v>0</v>
      </c>
      <c r="BI127" s="29">
        <f>F127*AP127</f>
        <v>0</v>
      </c>
      <c r="BJ127" s="29">
        <f>F127*G127</f>
        <v>0</v>
      </c>
      <c r="BK127" s="29"/>
      <c r="BL127" s="29">
        <v>771</v>
      </c>
      <c r="BW127" s="29">
        <v>21</v>
      </c>
      <c r="BX127" s="5" t="s">
        <v>243</v>
      </c>
    </row>
    <row r="128" spans="1:76" ht="13.5" customHeight="1" x14ac:dyDescent="0.25">
      <c r="A128" s="32"/>
      <c r="C128" s="86" t="s">
        <v>244</v>
      </c>
      <c r="D128" s="87"/>
      <c r="E128" s="87"/>
      <c r="F128" s="87"/>
      <c r="G128" s="87"/>
      <c r="H128" s="87"/>
      <c r="I128" s="87"/>
      <c r="J128" s="87"/>
      <c r="K128" s="88"/>
    </row>
    <row r="129" spans="1:76" x14ac:dyDescent="0.25">
      <c r="A129" s="32"/>
      <c r="C129" s="34" t="s">
        <v>218</v>
      </c>
      <c r="D129" s="34" t="s">
        <v>51</v>
      </c>
      <c r="F129" s="35">
        <v>1.8</v>
      </c>
      <c r="K129" s="36"/>
    </row>
    <row r="130" spans="1:76" x14ac:dyDescent="0.25">
      <c r="A130" s="32"/>
      <c r="B130" s="37" t="s">
        <v>69</v>
      </c>
      <c r="C130" s="86" t="s">
        <v>245</v>
      </c>
      <c r="D130" s="87"/>
      <c r="E130" s="87"/>
      <c r="F130" s="87"/>
      <c r="G130" s="87"/>
      <c r="H130" s="87"/>
      <c r="I130" s="87"/>
      <c r="J130" s="87"/>
      <c r="K130" s="88"/>
      <c r="BX130" s="33" t="s">
        <v>245</v>
      </c>
    </row>
    <row r="131" spans="1:76" x14ac:dyDescent="0.25">
      <c r="A131" s="2" t="s">
        <v>246</v>
      </c>
      <c r="B131" s="3" t="s">
        <v>247</v>
      </c>
      <c r="C131" s="84" t="s">
        <v>248</v>
      </c>
      <c r="D131" s="85"/>
      <c r="E131" s="3" t="s">
        <v>84</v>
      </c>
      <c r="F131" s="29">
        <v>1.2</v>
      </c>
      <c r="G131" s="29">
        <v>0</v>
      </c>
      <c r="H131" s="29">
        <f>F131*AO131</f>
        <v>0</v>
      </c>
      <c r="I131" s="29">
        <f>F131*AP131</f>
        <v>0</v>
      </c>
      <c r="J131" s="29">
        <f>F131*G131</f>
        <v>0</v>
      </c>
      <c r="K131" s="30" t="s">
        <v>60</v>
      </c>
      <c r="Z131" s="29">
        <f>IF(AQ131="5",BJ131,0)</f>
        <v>0</v>
      </c>
      <c r="AB131" s="29">
        <f>IF(AQ131="1",BH131,0)</f>
        <v>0</v>
      </c>
      <c r="AC131" s="29">
        <f>IF(AQ131="1",BI131,0)</f>
        <v>0</v>
      </c>
      <c r="AD131" s="29">
        <f>IF(AQ131="7",BH131,0)</f>
        <v>0</v>
      </c>
      <c r="AE131" s="29">
        <f>IF(AQ131="7",BI131,0)</f>
        <v>0</v>
      </c>
      <c r="AF131" s="29">
        <f>IF(AQ131="2",BH131,0)</f>
        <v>0</v>
      </c>
      <c r="AG131" s="29">
        <f>IF(AQ131="2",BI131,0)</f>
        <v>0</v>
      </c>
      <c r="AH131" s="29">
        <f>IF(AQ131="0",BJ131,0)</f>
        <v>0</v>
      </c>
      <c r="AI131" s="11" t="s">
        <v>55</v>
      </c>
      <c r="AJ131" s="29">
        <f>IF(AN131=0,J131,0)</f>
        <v>0</v>
      </c>
      <c r="AK131" s="29">
        <f>IF(AN131=12,J131,0)</f>
        <v>0</v>
      </c>
      <c r="AL131" s="29">
        <f>IF(AN131=21,J131,0)</f>
        <v>0</v>
      </c>
      <c r="AN131" s="29">
        <v>21</v>
      </c>
      <c r="AO131" s="29">
        <f>G131*0.262717391</f>
        <v>0</v>
      </c>
      <c r="AP131" s="29">
        <f>G131*(1-0.262717391)</f>
        <v>0</v>
      </c>
      <c r="AQ131" s="31" t="s">
        <v>99</v>
      </c>
      <c r="AV131" s="29">
        <f>AW131+AX131</f>
        <v>0</v>
      </c>
      <c r="AW131" s="29">
        <f>F131*AO131</f>
        <v>0</v>
      </c>
      <c r="AX131" s="29">
        <f>F131*AP131</f>
        <v>0</v>
      </c>
      <c r="AY131" s="31" t="s">
        <v>216</v>
      </c>
      <c r="AZ131" s="31" t="s">
        <v>217</v>
      </c>
      <c r="BA131" s="11" t="s">
        <v>63</v>
      </c>
      <c r="BC131" s="29">
        <f>AW131+AX131</f>
        <v>0</v>
      </c>
      <c r="BD131" s="29">
        <f>G131/(100-BE131)*100</f>
        <v>0</v>
      </c>
      <c r="BE131" s="29">
        <v>0</v>
      </c>
      <c r="BF131" s="29">
        <f>131</f>
        <v>131</v>
      </c>
      <c r="BH131" s="29">
        <f>F131*AO131</f>
        <v>0</v>
      </c>
      <c r="BI131" s="29">
        <f>F131*AP131</f>
        <v>0</v>
      </c>
      <c r="BJ131" s="29">
        <f>F131*G131</f>
        <v>0</v>
      </c>
      <c r="BK131" s="29"/>
      <c r="BL131" s="29">
        <v>771</v>
      </c>
      <c r="BW131" s="29">
        <v>21</v>
      </c>
      <c r="BX131" s="5" t="s">
        <v>248</v>
      </c>
    </row>
    <row r="132" spans="1:76" ht="13.5" customHeight="1" x14ac:dyDescent="0.25">
      <c r="A132" s="32"/>
      <c r="C132" s="86" t="s">
        <v>249</v>
      </c>
      <c r="D132" s="87"/>
      <c r="E132" s="87"/>
      <c r="F132" s="87"/>
      <c r="G132" s="87"/>
      <c r="H132" s="87"/>
      <c r="I132" s="87"/>
      <c r="J132" s="87"/>
      <c r="K132" s="88"/>
    </row>
    <row r="133" spans="1:76" x14ac:dyDescent="0.25">
      <c r="A133" s="32"/>
      <c r="C133" s="34" t="s">
        <v>239</v>
      </c>
      <c r="D133" s="34" t="s">
        <v>51</v>
      </c>
      <c r="F133" s="35">
        <v>1.2</v>
      </c>
      <c r="K133" s="36"/>
    </row>
    <row r="134" spans="1:76" x14ac:dyDescent="0.25">
      <c r="A134" s="32"/>
      <c r="B134" s="37" t="s">
        <v>69</v>
      </c>
      <c r="C134" s="86" t="s">
        <v>250</v>
      </c>
      <c r="D134" s="87"/>
      <c r="E134" s="87"/>
      <c r="F134" s="87"/>
      <c r="G134" s="87"/>
      <c r="H134" s="87"/>
      <c r="I134" s="87"/>
      <c r="J134" s="87"/>
      <c r="K134" s="88"/>
      <c r="BX134" s="33" t="s">
        <v>250</v>
      </c>
    </row>
    <row r="135" spans="1:76" x14ac:dyDescent="0.25">
      <c r="A135" s="38" t="s">
        <v>251</v>
      </c>
      <c r="B135" s="39" t="s">
        <v>252</v>
      </c>
      <c r="C135" s="95" t="s">
        <v>253</v>
      </c>
      <c r="D135" s="96"/>
      <c r="E135" s="39" t="s">
        <v>59</v>
      </c>
      <c r="F135" s="41">
        <v>2.4</v>
      </c>
      <c r="G135" s="41">
        <v>0</v>
      </c>
      <c r="H135" s="41">
        <f>F135*AO135</f>
        <v>0</v>
      </c>
      <c r="I135" s="41">
        <f>F135*AP135</f>
        <v>0</v>
      </c>
      <c r="J135" s="41">
        <f>F135*G135</f>
        <v>0</v>
      </c>
      <c r="K135" s="42" t="s">
        <v>60</v>
      </c>
      <c r="Z135" s="29">
        <f>IF(AQ135="5",BJ135,0)</f>
        <v>0</v>
      </c>
      <c r="AB135" s="29">
        <f>IF(AQ135="1",BH135,0)</f>
        <v>0</v>
      </c>
      <c r="AC135" s="29">
        <f>IF(AQ135="1",BI135,0)</f>
        <v>0</v>
      </c>
      <c r="AD135" s="29">
        <f>IF(AQ135="7",BH135,0)</f>
        <v>0</v>
      </c>
      <c r="AE135" s="29">
        <f>IF(AQ135="7",BI135,0)</f>
        <v>0</v>
      </c>
      <c r="AF135" s="29">
        <f>IF(AQ135="2",BH135,0)</f>
        <v>0</v>
      </c>
      <c r="AG135" s="29">
        <f>IF(AQ135="2",BI135,0)</f>
        <v>0</v>
      </c>
      <c r="AH135" s="29">
        <f>IF(AQ135="0",BJ135,0)</f>
        <v>0</v>
      </c>
      <c r="AI135" s="11" t="s">
        <v>55</v>
      </c>
      <c r="AJ135" s="41">
        <f>IF(AN135=0,J135,0)</f>
        <v>0</v>
      </c>
      <c r="AK135" s="41">
        <f>IF(AN135=12,J135,0)</f>
        <v>0</v>
      </c>
      <c r="AL135" s="41">
        <f>IF(AN135=21,J135,0)</f>
        <v>0</v>
      </c>
      <c r="AN135" s="29">
        <v>21</v>
      </c>
      <c r="AO135" s="29">
        <f>G135*1</f>
        <v>0</v>
      </c>
      <c r="AP135" s="29">
        <f>G135*(1-1)</f>
        <v>0</v>
      </c>
      <c r="AQ135" s="43" t="s">
        <v>99</v>
      </c>
      <c r="AV135" s="29">
        <f>AW135+AX135</f>
        <v>0</v>
      </c>
      <c r="AW135" s="29">
        <f>F135*AO135</f>
        <v>0</v>
      </c>
      <c r="AX135" s="29">
        <f>F135*AP135</f>
        <v>0</v>
      </c>
      <c r="AY135" s="31" t="s">
        <v>216</v>
      </c>
      <c r="AZ135" s="31" t="s">
        <v>217</v>
      </c>
      <c r="BA135" s="11" t="s">
        <v>63</v>
      </c>
      <c r="BC135" s="29">
        <f>AW135+AX135</f>
        <v>0</v>
      </c>
      <c r="BD135" s="29">
        <f>G135/(100-BE135)*100</f>
        <v>0</v>
      </c>
      <c r="BE135" s="29">
        <v>0</v>
      </c>
      <c r="BF135" s="29">
        <f>135</f>
        <v>135</v>
      </c>
      <c r="BH135" s="41">
        <f>F135*AO135</f>
        <v>0</v>
      </c>
      <c r="BI135" s="41">
        <f>F135*AP135</f>
        <v>0</v>
      </c>
      <c r="BJ135" s="41">
        <f>F135*G135</f>
        <v>0</v>
      </c>
      <c r="BK135" s="41"/>
      <c r="BL135" s="29">
        <v>771</v>
      </c>
      <c r="BW135" s="29">
        <v>21</v>
      </c>
      <c r="BX135" s="40" t="s">
        <v>253</v>
      </c>
    </row>
    <row r="136" spans="1:76" x14ac:dyDescent="0.25">
      <c r="A136" s="32"/>
      <c r="C136" s="34" t="s">
        <v>254</v>
      </c>
      <c r="D136" s="34" t="s">
        <v>255</v>
      </c>
      <c r="F136" s="35">
        <v>2.4</v>
      </c>
      <c r="K136" s="36"/>
    </row>
    <row r="137" spans="1:76" x14ac:dyDescent="0.25">
      <c r="A137" s="32"/>
      <c r="B137" s="37" t="s">
        <v>69</v>
      </c>
      <c r="C137" s="86" t="s">
        <v>256</v>
      </c>
      <c r="D137" s="87"/>
      <c r="E137" s="87"/>
      <c r="F137" s="87"/>
      <c r="G137" s="87"/>
      <c r="H137" s="87"/>
      <c r="I137" s="87"/>
      <c r="J137" s="87"/>
      <c r="K137" s="88"/>
      <c r="BX137" s="44" t="s">
        <v>256</v>
      </c>
    </row>
    <row r="138" spans="1:76" x14ac:dyDescent="0.25">
      <c r="A138" s="2" t="s">
        <v>257</v>
      </c>
      <c r="B138" s="3" t="s">
        <v>258</v>
      </c>
      <c r="C138" s="84" t="s">
        <v>259</v>
      </c>
      <c r="D138" s="85"/>
      <c r="E138" s="3" t="s">
        <v>160</v>
      </c>
      <c r="F138" s="29">
        <v>0.08</v>
      </c>
      <c r="G138" s="29">
        <v>0</v>
      </c>
      <c r="H138" s="29">
        <f>F138*AO138</f>
        <v>0</v>
      </c>
      <c r="I138" s="29">
        <f>F138*AP138</f>
        <v>0</v>
      </c>
      <c r="J138" s="29">
        <f>F138*G138</f>
        <v>0</v>
      </c>
      <c r="K138" s="30" t="s">
        <v>60</v>
      </c>
      <c r="Z138" s="29">
        <f>IF(AQ138="5",BJ138,0)</f>
        <v>0</v>
      </c>
      <c r="AB138" s="29">
        <f>IF(AQ138="1",BH138,0)</f>
        <v>0</v>
      </c>
      <c r="AC138" s="29">
        <f>IF(AQ138="1",BI138,0)</f>
        <v>0</v>
      </c>
      <c r="AD138" s="29">
        <f>IF(AQ138="7",BH138,0)</f>
        <v>0</v>
      </c>
      <c r="AE138" s="29">
        <f>IF(AQ138="7",BI138,0)</f>
        <v>0</v>
      </c>
      <c r="AF138" s="29">
        <f>IF(AQ138="2",BH138,0)</f>
        <v>0</v>
      </c>
      <c r="AG138" s="29">
        <f>IF(AQ138="2",BI138,0)</f>
        <v>0</v>
      </c>
      <c r="AH138" s="29">
        <f>IF(AQ138="0",BJ138,0)</f>
        <v>0</v>
      </c>
      <c r="AI138" s="11" t="s">
        <v>55</v>
      </c>
      <c r="AJ138" s="29">
        <f>IF(AN138=0,J138,0)</f>
        <v>0</v>
      </c>
      <c r="AK138" s="29">
        <f>IF(AN138=12,J138,0)</f>
        <v>0</v>
      </c>
      <c r="AL138" s="29">
        <f>IF(AN138=21,J138,0)</f>
        <v>0</v>
      </c>
      <c r="AN138" s="29">
        <v>21</v>
      </c>
      <c r="AO138" s="29">
        <f>G138*0</f>
        <v>0</v>
      </c>
      <c r="AP138" s="29">
        <f>G138*(1-0)</f>
        <v>0</v>
      </c>
      <c r="AQ138" s="31" t="s">
        <v>87</v>
      </c>
      <c r="AV138" s="29">
        <f>AW138+AX138</f>
        <v>0</v>
      </c>
      <c r="AW138" s="29">
        <f>F138*AO138</f>
        <v>0</v>
      </c>
      <c r="AX138" s="29">
        <f>F138*AP138</f>
        <v>0</v>
      </c>
      <c r="AY138" s="31" t="s">
        <v>216</v>
      </c>
      <c r="AZ138" s="31" t="s">
        <v>217</v>
      </c>
      <c r="BA138" s="11" t="s">
        <v>63</v>
      </c>
      <c r="BC138" s="29">
        <f>AW138+AX138</f>
        <v>0</v>
      </c>
      <c r="BD138" s="29">
        <f>G138/(100-BE138)*100</f>
        <v>0</v>
      </c>
      <c r="BE138" s="29">
        <v>0</v>
      </c>
      <c r="BF138" s="29">
        <f>138</f>
        <v>138</v>
      </c>
      <c r="BH138" s="29">
        <f>F138*AO138</f>
        <v>0</v>
      </c>
      <c r="BI138" s="29">
        <f>F138*AP138</f>
        <v>0</v>
      </c>
      <c r="BJ138" s="29">
        <f>F138*G138</f>
        <v>0</v>
      </c>
      <c r="BK138" s="29"/>
      <c r="BL138" s="29">
        <v>771</v>
      </c>
      <c r="BW138" s="29">
        <v>21</v>
      </c>
      <c r="BX138" s="5" t="s">
        <v>259</v>
      </c>
    </row>
    <row r="139" spans="1:76" x14ac:dyDescent="0.25">
      <c r="A139" s="32"/>
      <c r="C139" s="34" t="s">
        <v>260</v>
      </c>
      <c r="D139" s="34" t="s">
        <v>51</v>
      </c>
      <c r="F139" s="35">
        <v>0.08</v>
      </c>
      <c r="K139" s="36"/>
    </row>
    <row r="140" spans="1:76" x14ac:dyDescent="0.25">
      <c r="A140" s="25" t="s">
        <v>51</v>
      </c>
      <c r="B140" s="26" t="s">
        <v>261</v>
      </c>
      <c r="C140" s="93" t="s">
        <v>262</v>
      </c>
      <c r="D140" s="94"/>
      <c r="E140" s="27" t="s">
        <v>32</v>
      </c>
      <c r="F140" s="27" t="s">
        <v>32</v>
      </c>
      <c r="G140" s="27" t="s">
        <v>32</v>
      </c>
      <c r="H140" s="1">
        <f>SUM(H141:H152)</f>
        <v>0</v>
      </c>
      <c r="I140" s="1">
        <f>SUM(I141:I152)</f>
        <v>0</v>
      </c>
      <c r="J140" s="1">
        <f>SUM(J141:J152)</f>
        <v>0</v>
      </c>
      <c r="K140" s="28" t="s">
        <v>51</v>
      </c>
      <c r="AI140" s="11" t="s">
        <v>55</v>
      </c>
      <c r="AS140" s="1">
        <f>SUM(AJ141:AJ152)</f>
        <v>0</v>
      </c>
      <c r="AT140" s="1">
        <f>SUM(AK141:AK152)</f>
        <v>0</v>
      </c>
      <c r="AU140" s="1">
        <f>SUM(AL141:AL152)</f>
        <v>0</v>
      </c>
    </row>
    <row r="141" spans="1:76" x14ac:dyDescent="0.25">
      <c r="A141" s="2" t="s">
        <v>263</v>
      </c>
      <c r="B141" s="3" t="s">
        <v>264</v>
      </c>
      <c r="C141" s="84" t="s">
        <v>265</v>
      </c>
      <c r="D141" s="85"/>
      <c r="E141" s="3" t="s">
        <v>84</v>
      </c>
      <c r="F141" s="29">
        <v>2.1</v>
      </c>
      <c r="G141" s="29">
        <v>0</v>
      </c>
      <c r="H141" s="29">
        <f>F141*AO141</f>
        <v>0</v>
      </c>
      <c r="I141" s="29">
        <f>F141*AP141</f>
        <v>0</v>
      </c>
      <c r="J141" s="29">
        <f>F141*G141</f>
        <v>0</v>
      </c>
      <c r="K141" s="30" t="s">
        <v>60</v>
      </c>
      <c r="Z141" s="29">
        <f>IF(AQ141="5",BJ141,0)</f>
        <v>0</v>
      </c>
      <c r="AB141" s="29">
        <f>IF(AQ141="1",BH141,0)</f>
        <v>0</v>
      </c>
      <c r="AC141" s="29">
        <f>IF(AQ141="1",BI141,0)</f>
        <v>0</v>
      </c>
      <c r="AD141" s="29">
        <f>IF(AQ141="7",BH141,0)</f>
        <v>0</v>
      </c>
      <c r="AE141" s="29">
        <f>IF(AQ141="7",BI141,0)</f>
        <v>0</v>
      </c>
      <c r="AF141" s="29">
        <f>IF(AQ141="2",BH141,0)</f>
        <v>0</v>
      </c>
      <c r="AG141" s="29">
        <f>IF(AQ141="2",BI141,0)</f>
        <v>0</v>
      </c>
      <c r="AH141" s="29">
        <f>IF(AQ141="0",BJ141,0)</f>
        <v>0</v>
      </c>
      <c r="AI141" s="11" t="s">
        <v>55</v>
      </c>
      <c r="AJ141" s="29">
        <f>IF(AN141=0,J141,0)</f>
        <v>0</v>
      </c>
      <c r="AK141" s="29">
        <f>IF(AN141=12,J141,0)</f>
        <v>0</v>
      </c>
      <c r="AL141" s="29">
        <f>IF(AN141=21,J141,0)</f>
        <v>0</v>
      </c>
      <c r="AN141" s="29">
        <v>21</v>
      </c>
      <c r="AO141" s="29">
        <f>G141*0</f>
        <v>0</v>
      </c>
      <c r="AP141" s="29">
        <f>G141*(1-0)</f>
        <v>0</v>
      </c>
      <c r="AQ141" s="31" t="s">
        <v>99</v>
      </c>
      <c r="AV141" s="29">
        <f>AW141+AX141</f>
        <v>0</v>
      </c>
      <c r="AW141" s="29">
        <f>F141*AO141</f>
        <v>0</v>
      </c>
      <c r="AX141" s="29">
        <f>F141*AP141</f>
        <v>0</v>
      </c>
      <c r="AY141" s="31" t="s">
        <v>266</v>
      </c>
      <c r="AZ141" s="31" t="s">
        <v>217</v>
      </c>
      <c r="BA141" s="11" t="s">
        <v>63</v>
      </c>
      <c r="BC141" s="29">
        <f>AW141+AX141</f>
        <v>0</v>
      </c>
      <c r="BD141" s="29">
        <f>G141/(100-BE141)*100</f>
        <v>0</v>
      </c>
      <c r="BE141" s="29">
        <v>0</v>
      </c>
      <c r="BF141" s="29">
        <f>141</f>
        <v>141</v>
      </c>
      <c r="BH141" s="29">
        <f>F141*AO141</f>
        <v>0</v>
      </c>
      <c r="BI141" s="29">
        <f>F141*AP141</f>
        <v>0</v>
      </c>
      <c r="BJ141" s="29">
        <f>F141*G141</f>
        <v>0</v>
      </c>
      <c r="BK141" s="29"/>
      <c r="BL141" s="29">
        <v>776</v>
      </c>
      <c r="BW141" s="29">
        <v>21</v>
      </c>
      <c r="BX141" s="5" t="s">
        <v>265</v>
      </c>
    </row>
    <row r="142" spans="1:76" x14ac:dyDescent="0.25">
      <c r="A142" s="32"/>
      <c r="C142" s="34" t="s">
        <v>267</v>
      </c>
      <c r="D142" s="34" t="s">
        <v>51</v>
      </c>
      <c r="F142" s="35">
        <v>2.1</v>
      </c>
      <c r="K142" s="36"/>
    </row>
    <row r="143" spans="1:76" x14ac:dyDescent="0.25">
      <c r="A143" s="2" t="s">
        <v>268</v>
      </c>
      <c r="B143" s="3" t="s">
        <v>269</v>
      </c>
      <c r="C143" s="84" t="s">
        <v>270</v>
      </c>
      <c r="D143" s="85"/>
      <c r="E143" s="3" t="s">
        <v>59</v>
      </c>
      <c r="F143" s="29">
        <v>0.45</v>
      </c>
      <c r="G143" s="29">
        <v>0</v>
      </c>
      <c r="H143" s="29">
        <f>F143*AO143</f>
        <v>0</v>
      </c>
      <c r="I143" s="29">
        <f>F143*AP143</f>
        <v>0</v>
      </c>
      <c r="J143" s="29">
        <f>F143*G143</f>
        <v>0</v>
      </c>
      <c r="K143" s="30" t="s">
        <v>60</v>
      </c>
      <c r="Z143" s="29">
        <f>IF(AQ143="5",BJ143,0)</f>
        <v>0</v>
      </c>
      <c r="AB143" s="29">
        <f>IF(AQ143="1",BH143,0)</f>
        <v>0</v>
      </c>
      <c r="AC143" s="29">
        <f>IF(AQ143="1",BI143,0)</f>
        <v>0</v>
      </c>
      <c r="AD143" s="29">
        <f>IF(AQ143="7",BH143,0)</f>
        <v>0</v>
      </c>
      <c r="AE143" s="29">
        <f>IF(AQ143="7",BI143,0)</f>
        <v>0</v>
      </c>
      <c r="AF143" s="29">
        <f>IF(AQ143="2",BH143,0)</f>
        <v>0</v>
      </c>
      <c r="AG143" s="29">
        <f>IF(AQ143="2",BI143,0)</f>
        <v>0</v>
      </c>
      <c r="AH143" s="29">
        <f>IF(AQ143="0",BJ143,0)</f>
        <v>0</v>
      </c>
      <c r="AI143" s="11" t="s">
        <v>55</v>
      </c>
      <c r="AJ143" s="29">
        <f>IF(AN143=0,J143,0)</f>
        <v>0</v>
      </c>
      <c r="AK143" s="29">
        <f>IF(AN143=12,J143,0)</f>
        <v>0</v>
      </c>
      <c r="AL143" s="29">
        <f>IF(AN143=21,J143,0)</f>
        <v>0</v>
      </c>
      <c r="AN143" s="29">
        <v>21</v>
      </c>
      <c r="AO143" s="29">
        <f>G143*0</f>
        <v>0</v>
      </c>
      <c r="AP143" s="29">
        <f>G143*(1-0)</f>
        <v>0</v>
      </c>
      <c r="AQ143" s="31" t="s">
        <v>99</v>
      </c>
      <c r="AV143" s="29">
        <f>AW143+AX143</f>
        <v>0</v>
      </c>
      <c r="AW143" s="29">
        <f>F143*AO143</f>
        <v>0</v>
      </c>
      <c r="AX143" s="29">
        <f>F143*AP143</f>
        <v>0</v>
      </c>
      <c r="AY143" s="31" t="s">
        <v>266</v>
      </c>
      <c r="AZ143" s="31" t="s">
        <v>217</v>
      </c>
      <c r="BA143" s="11" t="s">
        <v>63</v>
      </c>
      <c r="BC143" s="29">
        <f>AW143+AX143</f>
        <v>0</v>
      </c>
      <c r="BD143" s="29">
        <f>G143/(100-BE143)*100</f>
        <v>0</v>
      </c>
      <c r="BE143" s="29">
        <v>0</v>
      </c>
      <c r="BF143" s="29">
        <f>143</f>
        <v>143</v>
      </c>
      <c r="BH143" s="29">
        <f>F143*AO143</f>
        <v>0</v>
      </c>
      <c r="BI143" s="29">
        <f>F143*AP143</f>
        <v>0</v>
      </c>
      <c r="BJ143" s="29">
        <f>F143*G143</f>
        <v>0</v>
      </c>
      <c r="BK143" s="29"/>
      <c r="BL143" s="29">
        <v>776</v>
      </c>
      <c r="BW143" s="29">
        <v>21</v>
      </c>
      <c r="BX143" s="5" t="s">
        <v>270</v>
      </c>
    </row>
    <row r="144" spans="1:76" ht="13.5" customHeight="1" x14ac:dyDescent="0.25">
      <c r="A144" s="32"/>
      <c r="C144" s="86" t="s">
        <v>271</v>
      </c>
      <c r="D144" s="87"/>
      <c r="E144" s="87"/>
      <c r="F144" s="87"/>
      <c r="G144" s="87"/>
      <c r="H144" s="87"/>
      <c r="I144" s="87"/>
      <c r="J144" s="87"/>
      <c r="K144" s="88"/>
    </row>
    <row r="145" spans="1:76" x14ac:dyDescent="0.25">
      <c r="A145" s="32"/>
      <c r="C145" s="34" t="s">
        <v>272</v>
      </c>
      <c r="D145" s="34" t="s">
        <v>273</v>
      </c>
      <c r="F145" s="35">
        <v>0.45</v>
      </c>
      <c r="K145" s="36"/>
    </row>
    <row r="146" spans="1:76" x14ac:dyDescent="0.25">
      <c r="A146" s="2" t="s">
        <v>274</v>
      </c>
      <c r="B146" s="3" t="s">
        <v>275</v>
      </c>
      <c r="C146" s="84" t="s">
        <v>276</v>
      </c>
      <c r="D146" s="85"/>
      <c r="E146" s="3" t="s">
        <v>59</v>
      </c>
      <c r="F146" s="29">
        <v>0.45</v>
      </c>
      <c r="G146" s="29">
        <v>0</v>
      </c>
      <c r="H146" s="29">
        <f>F146*AO146</f>
        <v>0</v>
      </c>
      <c r="I146" s="29">
        <f>F146*AP146</f>
        <v>0</v>
      </c>
      <c r="J146" s="29">
        <f>F146*G146</f>
        <v>0</v>
      </c>
      <c r="K146" s="30" t="s">
        <v>60</v>
      </c>
      <c r="Z146" s="29">
        <f>IF(AQ146="5",BJ146,0)</f>
        <v>0</v>
      </c>
      <c r="AB146" s="29">
        <f>IF(AQ146="1",BH146,0)</f>
        <v>0</v>
      </c>
      <c r="AC146" s="29">
        <f>IF(AQ146="1",BI146,0)</f>
        <v>0</v>
      </c>
      <c r="AD146" s="29">
        <f>IF(AQ146="7",BH146,0)</f>
        <v>0</v>
      </c>
      <c r="AE146" s="29">
        <f>IF(AQ146="7",BI146,0)</f>
        <v>0</v>
      </c>
      <c r="AF146" s="29">
        <f>IF(AQ146="2",BH146,0)</f>
        <v>0</v>
      </c>
      <c r="AG146" s="29">
        <f>IF(AQ146="2",BI146,0)</f>
        <v>0</v>
      </c>
      <c r="AH146" s="29">
        <f>IF(AQ146="0",BJ146,0)</f>
        <v>0</v>
      </c>
      <c r="AI146" s="11" t="s">
        <v>55</v>
      </c>
      <c r="AJ146" s="29">
        <f>IF(AN146=0,J146,0)</f>
        <v>0</v>
      </c>
      <c r="AK146" s="29">
        <f>IF(AN146=12,J146,0)</f>
        <v>0</v>
      </c>
      <c r="AL146" s="29">
        <f>IF(AN146=21,J146,0)</f>
        <v>0</v>
      </c>
      <c r="AN146" s="29">
        <v>21</v>
      </c>
      <c r="AO146" s="29">
        <f>G146*0.688735341</f>
        <v>0</v>
      </c>
      <c r="AP146" s="29">
        <f>G146*(1-0.688735341)</f>
        <v>0</v>
      </c>
      <c r="AQ146" s="31" t="s">
        <v>99</v>
      </c>
      <c r="AV146" s="29">
        <f>AW146+AX146</f>
        <v>0</v>
      </c>
      <c r="AW146" s="29">
        <f>F146*AO146</f>
        <v>0</v>
      </c>
      <c r="AX146" s="29">
        <f>F146*AP146</f>
        <v>0</v>
      </c>
      <c r="AY146" s="31" t="s">
        <v>266</v>
      </c>
      <c r="AZ146" s="31" t="s">
        <v>217</v>
      </c>
      <c r="BA146" s="11" t="s">
        <v>63</v>
      </c>
      <c r="BC146" s="29">
        <f>AW146+AX146</f>
        <v>0</v>
      </c>
      <c r="BD146" s="29">
        <f>G146/(100-BE146)*100</f>
        <v>0</v>
      </c>
      <c r="BE146" s="29">
        <v>0</v>
      </c>
      <c r="BF146" s="29">
        <f>146</f>
        <v>146</v>
      </c>
      <c r="BH146" s="29">
        <f>F146*AO146</f>
        <v>0</v>
      </c>
      <c r="BI146" s="29">
        <f>F146*AP146</f>
        <v>0</v>
      </c>
      <c r="BJ146" s="29">
        <f>F146*G146</f>
        <v>0</v>
      </c>
      <c r="BK146" s="29"/>
      <c r="BL146" s="29">
        <v>776</v>
      </c>
      <c r="BW146" s="29">
        <v>21</v>
      </c>
      <c r="BX146" s="5" t="s">
        <v>276</v>
      </c>
    </row>
    <row r="147" spans="1:76" ht="13.5" customHeight="1" x14ac:dyDescent="0.25">
      <c r="A147" s="32"/>
      <c r="C147" s="86" t="s">
        <v>277</v>
      </c>
      <c r="D147" s="87"/>
      <c r="E147" s="87"/>
      <c r="F147" s="87"/>
      <c r="G147" s="87"/>
      <c r="H147" s="87"/>
      <c r="I147" s="87"/>
      <c r="J147" s="87"/>
      <c r="K147" s="88"/>
    </row>
    <row r="148" spans="1:76" x14ac:dyDescent="0.25">
      <c r="A148" s="32"/>
      <c r="C148" s="34" t="s">
        <v>272</v>
      </c>
      <c r="D148" s="34" t="s">
        <v>51</v>
      </c>
      <c r="F148" s="35">
        <v>0.45</v>
      </c>
      <c r="K148" s="36"/>
    </row>
    <row r="149" spans="1:76" x14ac:dyDescent="0.25">
      <c r="A149" s="2" t="s">
        <v>278</v>
      </c>
      <c r="B149" s="3" t="s">
        <v>279</v>
      </c>
      <c r="C149" s="84" t="s">
        <v>280</v>
      </c>
      <c r="D149" s="85"/>
      <c r="E149" s="3" t="s">
        <v>84</v>
      </c>
      <c r="F149" s="29">
        <v>2.1</v>
      </c>
      <c r="G149" s="29">
        <v>0</v>
      </c>
      <c r="H149" s="29">
        <f>F149*AO149</f>
        <v>0</v>
      </c>
      <c r="I149" s="29">
        <f>F149*AP149</f>
        <v>0</v>
      </c>
      <c r="J149" s="29">
        <f>F149*G149</f>
        <v>0</v>
      </c>
      <c r="K149" s="30" t="s">
        <v>60</v>
      </c>
      <c r="Z149" s="29">
        <f>IF(AQ149="5",BJ149,0)</f>
        <v>0</v>
      </c>
      <c r="AB149" s="29">
        <f>IF(AQ149="1",BH149,0)</f>
        <v>0</v>
      </c>
      <c r="AC149" s="29">
        <f>IF(AQ149="1",BI149,0)</f>
        <v>0</v>
      </c>
      <c r="AD149" s="29">
        <f>IF(AQ149="7",BH149,0)</f>
        <v>0</v>
      </c>
      <c r="AE149" s="29">
        <f>IF(AQ149="7",BI149,0)</f>
        <v>0</v>
      </c>
      <c r="AF149" s="29">
        <f>IF(AQ149="2",BH149,0)</f>
        <v>0</v>
      </c>
      <c r="AG149" s="29">
        <f>IF(AQ149="2",BI149,0)</f>
        <v>0</v>
      </c>
      <c r="AH149" s="29">
        <f>IF(AQ149="0",BJ149,0)</f>
        <v>0</v>
      </c>
      <c r="AI149" s="11" t="s">
        <v>55</v>
      </c>
      <c r="AJ149" s="29">
        <f>IF(AN149=0,J149,0)</f>
        <v>0</v>
      </c>
      <c r="AK149" s="29">
        <f>IF(AN149=12,J149,0)</f>
        <v>0</v>
      </c>
      <c r="AL149" s="29">
        <f>IF(AN149=21,J149,0)</f>
        <v>0</v>
      </c>
      <c r="AN149" s="29">
        <v>21</v>
      </c>
      <c r="AO149" s="29">
        <f>G149*0.357073455</f>
        <v>0</v>
      </c>
      <c r="AP149" s="29">
        <f>G149*(1-0.357073455)</f>
        <v>0</v>
      </c>
      <c r="AQ149" s="31" t="s">
        <v>99</v>
      </c>
      <c r="AV149" s="29">
        <f>AW149+AX149</f>
        <v>0</v>
      </c>
      <c r="AW149" s="29">
        <f>F149*AO149</f>
        <v>0</v>
      </c>
      <c r="AX149" s="29">
        <f>F149*AP149</f>
        <v>0</v>
      </c>
      <c r="AY149" s="31" t="s">
        <v>266</v>
      </c>
      <c r="AZ149" s="31" t="s">
        <v>217</v>
      </c>
      <c r="BA149" s="11" t="s">
        <v>63</v>
      </c>
      <c r="BC149" s="29">
        <f>AW149+AX149</f>
        <v>0</v>
      </c>
      <c r="BD149" s="29">
        <f>G149/(100-BE149)*100</f>
        <v>0</v>
      </c>
      <c r="BE149" s="29">
        <v>0</v>
      </c>
      <c r="BF149" s="29">
        <f>149</f>
        <v>149</v>
      </c>
      <c r="BH149" s="29">
        <f>F149*AO149</f>
        <v>0</v>
      </c>
      <c r="BI149" s="29">
        <f>F149*AP149</f>
        <v>0</v>
      </c>
      <c r="BJ149" s="29">
        <f>F149*G149</f>
        <v>0</v>
      </c>
      <c r="BK149" s="29"/>
      <c r="BL149" s="29">
        <v>776</v>
      </c>
      <c r="BW149" s="29">
        <v>21</v>
      </c>
      <c r="BX149" s="5" t="s">
        <v>280</v>
      </c>
    </row>
    <row r="150" spans="1:76" ht="13.5" customHeight="1" x14ac:dyDescent="0.25">
      <c r="A150" s="32"/>
      <c r="C150" s="86" t="s">
        <v>281</v>
      </c>
      <c r="D150" s="87"/>
      <c r="E150" s="87"/>
      <c r="F150" s="87"/>
      <c r="G150" s="87"/>
      <c r="H150" s="87"/>
      <c r="I150" s="87"/>
      <c r="J150" s="87"/>
      <c r="K150" s="88"/>
    </row>
    <row r="151" spans="1:76" x14ac:dyDescent="0.25">
      <c r="A151" s="32"/>
      <c r="C151" s="34" t="s">
        <v>282</v>
      </c>
      <c r="D151" s="34" t="s">
        <v>51</v>
      </c>
      <c r="F151" s="35">
        <v>2.1</v>
      </c>
      <c r="K151" s="36"/>
    </row>
    <row r="152" spans="1:76" x14ac:dyDescent="0.25">
      <c r="A152" s="2" t="s">
        <v>283</v>
      </c>
      <c r="B152" s="3" t="s">
        <v>284</v>
      </c>
      <c r="C152" s="84" t="s">
        <v>285</v>
      </c>
      <c r="D152" s="85"/>
      <c r="E152" s="3" t="s">
        <v>160</v>
      </c>
      <c r="F152" s="29">
        <v>2.3999999999999998E-3</v>
      </c>
      <c r="G152" s="29">
        <v>0</v>
      </c>
      <c r="H152" s="29">
        <f>F152*AO152</f>
        <v>0</v>
      </c>
      <c r="I152" s="29">
        <f>F152*AP152</f>
        <v>0</v>
      </c>
      <c r="J152" s="29">
        <f>F152*G152</f>
        <v>0</v>
      </c>
      <c r="K152" s="30" t="s">
        <v>60</v>
      </c>
      <c r="Z152" s="29">
        <f>IF(AQ152="5",BJ152,0)</f>
        <v>0</v>
      </c>
      <c r="AB152" s="29">
        <f>IF(AQ152="1",BH152,0)</f>
        <v>0</v>
      </c>
      <c r="AC152" s="29">
        <f>IF(AQ152="1",BI152,0)</f>
        <v>0</v>
      </c>
      <c r="AD152" s="29">
        <f>IF(AQ152="7",BH152,0)</f>
        <v>0</v>
      </c>
      <c r="AE152" s="29">
        <f>IF(AQ152="7",BI152,0)</f>
        <v>0</v>
      </c>
      <c r="AF152" s="29">
        <f>IF(AQ152="2",BH152,0)</f>
        <v>0</v>
      </c>
      <c r="AG152" s="29">
        <f>IF(AQ152="2",BI152,0)</f>
        <v>0</v>
      </c>
      <c r="AH152" s="29">
        <f>IF(AQ152="0",BJ152,0)</f>
        <v>0</v>
      </c>
      <c r="AI152" s="11" t="s">
        <v>55</v>
      </c>
      <c r="AJ152" s="29">
        <f>IF(AN152=0,J152,0)</f>
        <v>0</v>
      </c>
      <c r="AK152" s="29">
        <f>IF(AN152=12,J152,0)</f>
        <v>0</v>
      </c>
      <c r="AL152" s="29">
        <f>IF(AN152=21,J152,0)</f>
        <v>0</v>
      </c>
      <c r="AN152" s="29">
        <v>21</v>
      </c>
      <c r="AO152" s="29">
        <f>G152*0</f>
        <v>0</v>
      </c>
      <c r="AP152" s="29">
        <f>G152*(1-0)</f>
        <v>0</v>
      </c>
      <c r="AQ152" s="31" t="s">
        <v>87</v>
      </c>
      <c r="AV152" s="29">
        <f>AW152+AX152</f>
        <v>0</v>
      </c>
      <c r="AW152" s="29">
        <f>F152*AO152</f>
        <v>0</v>
      </c>
      <c r="AX152" s="29">
        <f>F152*AP152</f>
        <v>0</v>
      </c>
      <c r="AY152" s="31" t="s">
        <v>266</v>
      </c>
      <c r="AZ152" s="31" t="s">
        <v>217</v>
      </c>
      <c r="BA152" s="11" t="s">
        <v>63</v>
      </c>
      <c r="BC152" s="29">
        <f>AW152+AX152</f>
        <v>0</v>
      </c>
      <c r="BD152" s="29">
        <f>G152/(100-BE152)*100</f>
        <v>0</v>
      </c>
      <c r="BE152" s="29">
        <v>0</v>
      </c>
      <c r="BF152" s="29">
        <f>152</f>
        <v>152</v>
      </c>
      <c r="BH152" s="29">
        <f>F152*AO152</f>
        <v>0</v>
      </c>
      <c r="BI152" s="29">
        <f>F152*AP152</f>
        <v>0</v>
      </c>
      <c r="BJ152" s="29">
        <f>F152*G152</f>
        <v>0</v>
      </c>
      <c r="BK152" s="29"/>
      <c r="BL152" s="29">
        <v>776</v>
      </c>
      <c r="BW152" s="29">
        <v>21</v>
      </c>
      <c r="BX152" s="5" t="s">
        <v>285</v>
      </c>
    </row>
    <row r="153" spans="1:76" x14ac:dyDescent="0.25">
      <c r="A153" s="32"/>
      <c r="C153" s="34" t="s">
        <v>286</v>
      </c>
      <c r="D153" s="34" t="s">
        <v>51</v>
      </c>
      <c r="F153" s="35">
        <v>2.3999999999999998E-3</v>
      </c>
      <c r="K153" s="36"/>
    </row>
    <row r="154" spans="1:76" x14ac:dyDescent="0.25">
      <c r="A154" s="25" t="s">
        <v>51</v>
      </c>
      <c r="B154" s="26" t="s">
        <v>287</v>
      </c>
      <c r="C154" s="93" t="s">
        <v>288</v>
      </c>
      <c r="D154" s="94"/>
      <c r="E154" s="27" t="s">
        <v>32</v>
      </c>
      <c r="F154" s="27" t="s">
        <v>32</v>
      </c>
      <c r="G154" s="27" t="s">
        <v>32</v>
      </c>
      <c r="H154" s="1">
        <f>SUM(H155:H167)</f>
        <v>0</v>
      </c>
      <c r="I154" s="1">
        <f>SUM(I155:I167)</f>
        <v>0</v>
      </c>
      <c r="J154" s="1">
        <f>SUM(J155:J167)</f>
        <v>0</v>
      </c>
      <c r="K154" s="28" t="s">
        <v>51</v>
      </c>
      <c r="AI154" s="11" t="s">
        <v>55</v>
      </c>
      <c r="AS154" s="1">
        <f>SUM(AJ155:AJ167)</f>
        <v>0</v>
      </c>
      <c r="AT154" s="1">
        <f>SUM(AK155:AK167)</f>
        <v>0</v>
      </c>
      <c r="AU154" s="1">
        <f>SUM(AL155:AL167)</f>
        <v>0</v>
      </c>
    </row>
    <row r="155" spans="1:76" x14ac:dyDescent="0.25">
      <c r="A155" s="2" t="s">
        <v>289</v>
      </c>
      <c r="B155" s="3" t="s">
        <v>290</v>
      </c>
      <c r="C155" s="84" t="s">
        <v>291</v>
      </c>
      <c r="D155" s="85"/>
      <c r="E155" s="3" t="s">
        <v>84</v>
      </c>
      <c r="F155" s="29">
        <v>3.9</v>
      </c>
      <c r="G155" s="29">
        <v>0</v>
      </c>
      <c r="H155" s="29">
        <f>F155*AO155</f>
        <v>0</v>
      </c>
      <c r="I155" s="29">
        <f>F155*AP155</f>
        <v>0</v>
      </c>
      <c r="J155" s="29">
        <f>F155*G155</f>
        <v>0</v>
      </c>
      <c r="K155" s="30" t="s">
        <v>60</v>
      </c>
      <c r="Z155" s="29">
        <f>IF(AQ155="5",BJ155,0)</f>
        <v>0</v>
      </c>
      <c r="AB155" s="29">
        <f>IF(AQ155="1",BH155,0)</f>
        <v>0</v>
      </c>
      <c r="AC155" s="29">
        <f>IF(AQ155="1",BI155,0)</f>
        <v>0</v>
      </c>
      <c r="AD155" s="29">
        <f>IF(AQ155="7",BH155,0)</f>
        <v>0</v>
      </c>
      <c r="AE155" s="29">
        <f>IF(AQ155="7",BI155,0)</f>
        <v>0</v>
      </c>
      <c r="AF155" s="29">
        <f>IF(AQ155="2",BH155,0)</f>
        <v>0</v>
      </c>
      <c r="AG155" s="29">
        <f>IF(AQ155="2",BI155,0)</f>
        <v>0</v>
      </c>
      <c r="AH155" s="29">
        <f>IF(AQ155="0",BJ155,0)</f>
        <v>0</v>
      </c>
      <c r="AI155" s="11" t="s">
        <v>55</v>
      </c>
      <c r="AJ155" s="29">
        <f>IF(AN155=0,J155,0)</f>
        <v>0</v>
      </c>
      <c r="AK155" s="29">
        <f>IF(AN155=12,J155,0)</f>
        <v>0</v>
      </c>
      <c r="AL155" s="29">
        <f>IF(AN155=21,J155,0)</f>
        <v>0</v>
      </c>
      <c r="AN155" s="29">
        <v>21</v>
      </c>
      <c r="AO155" s="29">
        <f>G155*0</f>
        <v>0</v>
      </c>
      <c r="AP155" s="29">
        <f>G155*(1-0)</f>
        <v>0</v>
      </c>
      <c r="AQ155" s="31" t="s">
        <v>99</v>
      </c>
      <c r="AV155" s="29">
        <f>AW155+AX155</f>
        <v>0</v>
      </c>
      <c r="AW155" s="29">
        <f>F155*AO155</f>
        <v>0</v>
      </c>
      <c r="AX155" s="29">
        <f>F155*AP155</f>
        <v>0</v>
      </c>
      <c r="AY155" s="31" t="s">
        <v>292</v>
      </c>
      <c r="AZ155" s="31" t="s">
        <v>293</v>
      </c>
      <c r="BA155" s="11" t="s">
        <v>63</v>
      </c>
      <c r="BC155" s="29">
        <f>AW155+AX155</f>
        <v>0</v>
      </c>
      <c r="BD155" s="29">
        <f>G155/(100-BE155)*100</f>
        <v>0</v>
      </c>
      <c r="BE155" s="29">
        <v>0</v>
      </c>
      <c r="BF155" s="29">
        <f>155</f>
        <v>155</v>
      </c>
      <c r="BH155" s="29">
        <f>F155*AO155</f>
        <v>0</v>
      </c>
      <c r="BI155" s="29">
        <f>F155*AP155</f>
        <v>0</v>
      </c>
      <c r="BJ155" s="29">
        <f>F155*G155</f>
        <v>0</v>
      </c>
      <c r="BK155" s="29"/>
      <c r="BL155" s="29">
        <v>781</v>
      </c>
      <c r="BW155" s="29">
        <v>21</v>
      </c>
      <c r="BX155" s="5" t="s">
        <v>291</v>
      </c>
    </row>
    <row r="156" spans="1:76" x14ac:dyDescent="0.25">
      <c r="A156" s="32"/>
      <c r="C156" s="34" t="s">
        <v>294</v>
      </c>
      <c r="D156" s="34" t="s">
        <v>295</v>
      </c>
      <c r="F156" s="35">
        <v>3.9</v>
      </c>
      <c r="K156" s="36"/>
    </row>
    <row r="157" spans="1:76" ht="51" x14ac:dyDescent="0.25">
      <c r="A157" s="32"/>
      <c r="B157" s="37" t="s">
        <v>69</v>
      </c>
      <c r="C157" s="86" t="s">
        <v>296</v>
      </c>
      <c r="D157" s="87"/>
      <c r="E157" s="87"/>
      <c r="F157" s="87"/>
      <c r="G157" s="87"/>
      <c r="H157" s="87"/>
      <c r="I157" s="87"/>
      <c r="J157" s="87"/>
      <c r="K157" s="88"/>
      <c r="BX157" s="33" t="s">
        <v>296</v>
      </c>
    </row>
    <row r="158" spans="1:76" x14ac:dyDescent="0.25">
      <c r="A158" s="2" t="s">
        <v>297</v>
      </c>
      <c r="B158" s="3" t="s">
        <v>298</v>
      </c>
      <c r="C158" s="84" t="s">
        <v>299</v>
      </c>
      <c r="D158" s="85"/>
      <c r="E158" s="3" t="s">
        <v>84</v>
      </c>
      <c r="F158" s="29">
        <v>9</v>
      </c>
      <c r="G158" s="29">
        <v>0</v>
      </c>
      <c r="H158" s="29">
        <f>F158*AO158</f>
        <v>0</v>
      </c>
      <c r="I158" s="29">
        <f>F158*AP158</f>
        <v>0</v>
      </c>
      <c r="J158" s="29">
        <f>F158*G158</f>
        <v>0</v>
      </c>
      <c r="K158" s="30" t="s">
        <v>60</v>
      </c>
      <c r="Z158" s="29">
        <f>IF(AQ158="5",BJ158,0)</f>
        <v>0</v>
      </c>
      <c r="AB158" s="29">
        <f>IF(AQ158="1",BH158,0)</f>
        <v>0</v>
      </c>
      <c r="AC158" s="29">
        <f>IF(AQ158="1",BI158,0)</f>
        <v>0</v>
      </c>
      <c r="AD158" s="29">
        <f>IF(AQ158="7",BH158,0)</f>
        <v>0</v>
      </c>
      <c r="AE158" s="29">
        <f>IF(AQ158="7",BI158,0)</f>
        <v>0</v>
      </c>
      <c r="AF158" s="29">
        <f>IF(AQ158="2",BH158,0)</f>
        <v>0</v>
      </c>
      <c r="AG158" s="29">
        <f>IF(AQ158="2",BI158,0)</f>
        <v>0</v>
      </c>
      <c r="AH158" s="29">
        <f>IF(AQ158="0",BJ158,0)</f>
        <v>0</v>
      </c>
      <c r="AI158" s="11" t="s">
        <v>55</v>
      </c>
      <c r="AJ158" s="29">
        <f>IF(AN158=0,J158,0)</f>
        <v>0</v>
      </c>
      <c r="AK158" s="29">
        <f>IF(AN158=12,J158,0)</f>
        <v>0</v>
      </c>
      <c r="AL158" s="29">
        <f>IF(AN158=21,J158,0)</f>
        <v>0</v>
      </c>
      <c r="AN158" s="29">
        <v>21</v>
      </c>
      <c r="AO158" s="29">
        <f>G158*0</f>
        <v>0</v>
      </c>
      <c r="AP158" s="29">
        <f>G158*(1-0)</f>
        <v>0</v>
      </c>
      <c r="AQ158" s="31" t="s">
        <v>99</v>
      </c>
      <c r="AV158" s="29">
        <f>AW158+AX158</f>
        <v>0</v>
      </c>
      <c r="AW158" s="29">
        <f>F158*AO158</f>
        <v>0</v>
      </c>
      <c r="AX158" s="29">
        <f>F158*AP158</f>
        <v>0</v>
      </c>
      <c r="AY158" s="31" t="s">
        <v>292</v>
      </c>
      <c r="AZ158" s="31" t="s">
        <v>293</v>
      </c>
      <c r="BA158" s="11" t="s">
        <v>63</v>
      </c>
      <c r="BC158" s="29">
        <f>AW158+AX158</f>
        <v>0</v>
      </c>
      <c r="BD158" s="29">
        <f>G158/(100-BE158)*100</f>
        <v>0</v>
      </c>
      <c r="BE158" s="29">
        <v>0</v>
      </c>
      <c r="BF158" s="29">
        <f>158</f>
        <v>158</v>
      </c>
      <c r="BH158" s="29">
        <f>F158*AO158</f>
        <v>0</v>
      </c>
      <c r="BI158" s="29">
        <f>F158*AP158</f>
        <v>0</v>
      </c>
      <c r="BJ158" s="29">
        <f>F158*G158</f>
        <v>0</v>
      </c>
      <c r="BK158" s="29"/>
      <c r="BL158" s="29">
        <v>781</v>
      </c>
      <c r="BW158" s="29">
        <v>21</v>
      </c>
      <c r="BX158" s="5" t="s">
        <v>299</v>
      </c>
    </row>
    <row r="159" spans="1:76" x14ac:dyDescent="0.25">
      <c r="A159" s="32"/>
      <c r="C159" s="34" t="s">
        <v>300</v>
      </c>
      <c r="D159" s="34" t="s">
        <v>51</v>
      </c>
      <c r="F159" s="35">
        <v>9</v>
      </c>
      <c r="K159" s="36"/>
    </row>
    <row r="160" spans="1:76" ht="51" x14ac:dyDescent="0.25">
      <c r="A160" s="32"/>
      <c r="B160" s="37" t="s">
        <v>69</v>
      </c>
      <c r="C160" s="86" t="s">
        <v>301</v>
      </c>
      <c r="D160" s="87"/>
      <c r="E160" s="87"/>
      <c r="F160" s="87"/>
      <c r="G160" s="87"/>
      <c r="H160" s="87"/>
      <c r="I160" s="87"/>
      <c r="J160" s="87"/>
      <c r="K160" s="88"/>
      <c r="BX160" s="33" t="s">
        <v>301</v>
      </c>
    </row>
    <row r="161" spans="1:76" x14ac:dyDescent="0.25">
      <c r="A161" s="38" t="s">
        <v>302</v>
      </c>
      <c r="B161" s="39" t="s">
        <v>303</v>
      </c>
      <c r="C161" s="95" t="s">
        <v>304</v>
      </c>
      <c r="D161" s="96"/>
      <c r="E161" s="39" t="s">
        <v>59</v>
      </c>
      <c r="F161" s="41">
        <v>4.6440000000000001</v>
      </c>
      <c r="G161" s="41">
        <v>0</v>
      </c>
      <c r="H161" s="41">
        <f>F161*AO161</f>
        <v>0</v>
      </c>
      <c r="I161" s="41">
        <f>F161*AP161</f>
        <v>0</v>
      </c>
      <c r="J161" s="41">
        <f>F161*G161</f>
        <v>0</v>
      </c>
      <c r="K161" s="42" t="s">
        <v>60</v>
      </c>
      <c r="Z161" s="29">
        <f>IF(AQ161="5",BJ161,0)</f>
        <v>0</v>
      </c>
      <c r="AB161" s="29">
        <f>IF(AQ161="1",BH161,0)</f>
        <v>0</v>
      </c>
      <c r="AC161" s="29">
        <f>IF(AQ161="1",BI161,0)</f>
        <v>0</v>
      </c>
      <c r="AD161" s="29">
        <f>IF(AQ161="7",BH161,0)</f>
        <v>0</v>
      </c>
      <c r="AE161" s="29">
        <f>IF(AQ161="7",BI161,0)</f>
        <v>0</v>
      </c>
      <c r="AF161" s="29">
        <f>IF(AQ161="2",BH161,0)</f>
        <v>0</v>
      </c>
      <c r="AG161" s="29">
        <f>IF(AQ161="2",BI161,0)</f>
        <v>0</v>
      </c>
      <c r="AH161" s="29">
        <f>IF(AQ161="0",BJ161,0)</f>
        <v>0</v>
      </c>
      <c r="AI161" s="11" t="s">
        <v>55</v>
      </c>
      <c r="AJ161" s="41">
        <f>IF(AN161=0,J161,0)</f>
        <v>0</v>
      </c>
      <c r="AK161" s="41">
        <f>IF(AN161=12,J161,0)</f>
        <v>0</v>
      </c>
      <c r="AL161" s="41">
        <f>IF(AN161=21,J161,0)</f>
        <v>0</v>
      </c>
      <c r="AN161" s="29">
        <v>21</v>
      </c>
      <c r="AO161" s="29">
        <f>G161*1</f>
        <v>0</v>
      </c>
      <c r="AP161" s="29">
        <f>G161*(1-1)</f>
        <v>0</v>
      </c>
      <c r="AQ161" s="43" t="s">
        <v>99</v>
      </c>
      <c r="AV161" s="29">
        <f>AW161+AX161</f>
        <v>0</v>
      </c>
      <c r="AW161" s="29">
        <f>F161*AO161</f>
        <v>0</v>
      </c>
      <c r="AX161" s="29">
        <f>F161*AP161</f>
        <v>0</v>
      </c>
      <c r="AY161" s="31" t="s">
        <v>292</v>
      </c>
      <c r="AZ161" s="31" t="s">
        <v>293</v>
      </c>
      <c r="BA161" s="11" t="s">
        <v>63</v>
      </c>
      <c r="BC161" s="29">
        <f>AW161+AX161</f>
        <v>0</v>
      </c>
      <c r="BD161" s="29">
        <f>G161/(100-BE161)*100</f>
        <v>0</v>
      </c>
      <c r="BE161" s="29">
        <v>0</v>
      </c>
      <c r="BF161" s="29">
        <f>161</f>
        <v>161</v>
      </c>
      <c r="BH161" s="41">
        <f>F161*AO161</f>
        <v>0</v>
      </c>
      <c r="BI161" s="41">
        <f>F161*AP161</f>
        <v>0</v>
      </c>
      <c r="BJ161" s="41">
        <f>F161*G161</f>
        <v>0</v>
      </c>
      <c r="BK161" s="41"/>
      <c r="BL161" s="29">
        <v>781</v>
      </c>
      <c r="BW161" s="29">
        <v>21</v>
      </c>
      <c r="BX161" s="40" t="s">
        <v>304</v>
      </c>
    </row>
    <row r="162" spans="1:76" x14ac:dyDescent="0.25">
      <c r="A162" s="32"/>
      <c r="C162" s="34" t="s">
        <v>305</v>
      </c>
      <c r="D162" s="34" t="s">
        <v>51</v>
      </c>
      <c r="F162" s="35">
        <v>4.6440000000000001</v>
      </c>
      <c r="K162" s="36"/>
    </row>
    <row r="163" spans="1:76" x14ac:dyDescent="0.25">
      <c r="A163" s="32"/>
      <c r="B163" s="37" t="s">
        <v>69</v>
      </c>
      <c r="C163" s="86" t="s">
        <v>306</v>
      </c>
      <c r="D163" s="87"/>
      <c r="E163" s="87"/>
      <c r="F163" s="87"/>
      <c r="G163" s="87"/>
      <c r="H163" s="87"/>
      <c r="I163" s="87"/>
      <c r="J163" s="87"/>
      <c r="K163" s="88"/>
      <c r="BX163" s="44" t="s">
        <v>306</v>
      </c>
    </row>
    <row r="164" spans="1:76" x14ac:dyDescent="0.25">
      <c r="A164" s="2" t="s">
        <v>307</v>
      </c>
      <c r="B164" s="3" t="s">
        <v>308</v>
      </c>
      <c r="C164" s="84" t="s">
        <v>309</v>
      </c>
      <c r="D164" s="85"/>
      <c r="E164" s="3" t="s">
        <v>59</v>
      </c>
      <c r="F164" s="29">
        <v>2.25</v>
      </c>
      <c r="G164" s="29">
        <v>0</v>
      </c>
      <c r="H164" s="29">
        <f>F164*AO164</f>
        <v>0</v>
      </c>
      <c r="I164" s="29">
        <f>F164*AP164</f>
        <v>0</v>
      </c>
      <c r="J164" s="29">
        <f>F164*G164</f>
        <v>0</v>
      </c>
      <c r="K164" s="30" t="s">
        <v>60</v>
      </c>
      <c r="Z164" s="29">
        <f>IF(AQ164="5",BJ164,0)</f>
        <v>0</v>
      </c>
      <c r="AB164" s="29">
        <f>IF(AQ164="1",BH164,0)</f>
        <v>0</v>
      </c>
      <c r="AC164" s="29">
        <f>IF(AQ164="1",BI164,0)</f>
        <v>0</v>
      </c>
      <c r="AD164" s="29">
        <f>IF(AQ164="7",BH164,0)</f>
        <v>0</v>
      </c>
      <c r="AE164" s="29">
        <f>IF(AQ164="7",BI164,0)</f>
        <v>0</v>
      </c>
      <c r="AF164" s="29">
        <f>IF(AQ164="2",BH164,0)</f>
        <v>0</v>
      </c>
      <c r="AG164" s="29">
        <f>IF(AQ164="2",BI164,0)</f>
        <v>0</v>
      </c>
      <c r="AH164" s="29">
        <f>IF(AQ164="0",BJ164,0)</f>
        <v>0</v>
      </c>
      <c r="AI164" s="11" t="s">
        <v>55</v>
      </c>
      <c r="AJ164" s="29">
        <f>IF(AN164=0,J164,0)</f>
        <v>0</v>
      </c>
      <c r="AK164" s="29">
        <f>IF(AN164=12,J164,0)</f>
        <v>0</v>
      </c>
      <c r="AL164" s="29">
        <f>IF(AN164=21,J164,0)</f>
        <v>0</v>
      </c>
      <c r="AN164" s="29">
        <v>21</v>
      </c>
      <c r="AO164" s="29">
        <f>G164*0</f>
        <v>0</v>
      </c>
      <c r="AP164" s="29">
        <f>G164*(1-0)</f>
        <v>0</v>
      </c>
      <c r="AQ164" s="31" t="s">
        <v>99</v>
      </c>
      <c r="AV164" s="29">
        <f>AW164+AX164</f>
        <v>0</v>
      </c>
      <c r="AW164" s="29">
        <f>F164*AO164</f>
        <v>0</v>
      </c>
      <c r="AX164" s="29">
        <f>F164*AP164</f>
        <v>0</v>
      </c>
      <c r="AY164" s="31" t="s">
        <v>292</v>
      </c>
      <c r="AZ164" s="31" t="s">
        <v>293</v>
      </c>
      <c r="BA164" s="11" t="s">
        <v>63</v>
      </c>
      <c r="BC164" s="29">
        <f>AW164+AX164</f>
        <v>0</v>
      </c>
      <c r="BD164" s="29">
        <f>G164/(100-BE164)*100</f>
        <v>0</v>
      </c>
      <c r="BE164" s="29">
        <v>0</v>
      </c>
      <c r="BF164" s="29">
        <f>164</f>
        <v>164</v>
      </c>
      <c r="BH164" s="29">
        <f>F164*AO164</f>
        <v>0</v>
      </c>
      <c r="BI164" s="29">
        <f>F164*AP164</f>
        <v>0</v>
      </c>
      <c r="BJ164" s="29">
        <f>F164*G164</f>
        <v>0</v>
      </c>
      <c r="BK164" s="29"/>
      <c r="BL164" s="29">
        <v>781</v>
      </c>
      <c r="BW164" s="29">
        <v>21</v>
      </c>
      <c r="BX164" s="5" t="s">
        <v>309</v>
      </c>
    </row>
    <row r="165" spans="1:76" x14ac:dyDescent="0.25">
      <c r="A165" s="32"/>
      <c r="C165" s="34" t="s">
        <v>310</v>
      </c>
      <c r="D165" s="34" t="s">
        <v>51</v>
      </c>
      <c r="F165" s="35">
        <v>2.25</v>
      </c>
      <c r="K165" s="36"/>
    </row>
    <row r="166" spans="1:76" x14ac:dyDescent="0.25">
      <c r="A166" s="32"/>
      <c r="B166" s="37" t="s">
        <v>69</v>
      </c>
      <c r="C166" s="86" t="s">
        <v>113</v>
      </c>
      <c r="D166" s="87"/>
      <c r="E166" s="87"/>
      <c r="F166" s="87"/>
      <c r="G166" s="87"/>
      <c r="H166" s="87"/>
      <c r="I166" s="87"/>
      <c r="J166" s="87"/>
      <c r="K166" s="88"/>
      <c r="BX166" s="33" t="s">
        <v>113</v>
      </c>
    </row>
    <row r="167" spans="1:76" x14ac:dyDescent="0.25">
      <c r="A167" s="2" t="s">
        <v>311</v>
      </c>
      <c r="B167" s="3" t="s">
        <v>312</v>
      </c>
      <c r="C167" s="84" t="s">
        <v>313</v>
      </c>
      <c r="D167" s="85"/>
      <c r="E167" s="3" t="s">
        <v>160</v>
      </c>
      <c r="F167" s="29">
        <v>0.2162</v>
      </c>
      <c r="G167" s="29">
        <v>0</v>
      </c>
      <c r="H167" s="29">
        <f>F167*AO167</f>
        <v>0</v>
      </c>
      <c r="I167" s="29">
        <f>F167*AP167</f>
        <v>0</v>
      </c>
      <c r="J167" s="29">
        <f>F167*G167</f>
        <v>0</v>
      </c>
      <c r="K167" s="30" t="s">
        <v>60</v>
      </c>
      <c r="Z167" s="29">
        <f>IF(AQ167="5",BJ167,0)</f>
        <v>0</v>
      </c>
      <c r="AB167" s="29">
        <f>IF(AQ167="1",BH167,0)</f>
        <v>0</v>
      </c>
      <c r="AC167" s="29">
        <f>IF(AQ167="1",BI167,0)</f>
        <v>0</v>
      </c>
      <c r="AD167" s="29">
        <f>IF(AQ167="7",BH167,0)</f>
        <v>0</v>
      </c>
      <c r="AE167" s="29">
        <f>IF(AQ167="7",BI167,0)</f>
        <v>0</v>
      </c>
      <c r="AF167" s="29">
        <f>IF(AQ167="2",BH167,0)</f>
        <v>0</v>
      </c>
      <c r="AG167" s="29">
        <f>IF(AQ167="2",BI167,0)</f>
        <v>0</v>
      </c>
      <c r="AH167" s="29">
        <f>IF(AQ167="0",BJ167,0)</f>
        <v>0</v>
      </c>
      <c r="AI167" s="11" t="s">
        <v>55</v>
      </c>
      <c r="AJ167" s="29">
        <f>IF(AN167=0,J167,0)</f>
        <v>0</v>
      </c>
      <c r="AK167" s="29">
        <f>IF(AN167=12,J167,0)</f>
        <v>0</v>
      </c>
      <c r="AL167" s="29">
        <f>IF(AN167=21,J167,0)</f>
        <v>0</v>
      </c>
      <c r="AN167" s="29">
        <v>21</v>
      </c>
      <c r="AO167" s="29">
        <f>G167*0</f>
        <v>0</v>
      </c>
      <c r="AP167" s="29">
        <f>G167*(1-0)</f>
        <v>0</v>
      </c>
      <c r="AQ167" s="31" t="s">
        <v>87</v>
      </c>
      <c r="AV167" s="29">
        <f>AW167+AX167</f>
        <v>0</v>
      </c>
      <c r="AW167" s="29">
        <f>F167*AO167</f>
        <v>0</v>
      </c>
      <c r="AX167" s="29">
        <f>F167*AP167</f>
        <v>0</v>
      </c>
      <c r="AY167" s="31" t="s">
        <v>292</v>
      </c>
      <c r="AZ167" s="31" t="s">
        <v>293</v>
      </c>
      <c r="BA167" s="11" t="s">
        <v>63</v>
      </c>
      <c r="BC167" s="29">
        <f>AW167+AX167</f>
        <v>0</v>
      </c>
      <c r="BD167" s="29">
        <f>G167/(100-BE167)*100</f>
        <v>0</v>
      </c>
      <c r="BE167" s="29">
        <v>0</v>
      </c>
      <c r="BF167" s="29">
        <f>167</f>
        <v>167</v>
      </c>
      <c r="BH167" s="29">
        <f>F167*AO167</f>
        <v>0</v>
      </c>
      <c r="BI167" s="29">
        <f>F167*AP167</f>
        <v>0</v>
      </c>
      <c r="BJ167" s="29">
        <f>F167*G167</f>
        <v>0</v>
      </c>
      <c r="BK167" s="29"/>
      <c r="BL167" s="29">
        <v>781</v>
      </c>
      <c r="BW167" s="29">
        <v>21</v>
      </c>
      <c r="BX167" s="5" t="s">
        <v>313</v>
      </c>
    </row>
    <row r="168" spans="1:76" x14ac:dyDescent="0.25">
      <c r="A168" s="32"/>
      <c r="C168" s="34" t="s">
        <v>314</v>
      </c>
      <c r="D168" s="34" t="s">
        <v>51</v>
      </c>
      <c r="F168" s="35">
        <v>0.2162</v>
      </c>
      <c r="K168" s="36"/>
    </row>
    <row r="169" spans="1:76" x14ac:dyDescent="0.25">
      <c r="A169" s="25" t="s">
        <v>51</v>
      </c>
      <c r="B169" s="26" t="s">
        <v>315</v>
      </c>
      <c r="C169" s="93" t="s">
        <v>316</v>
      </c>
      <c r="D169" s="94"/>
      <c r="E169" s="27" t="s">
        <v>32</v>
      </c>
      <c r="F169" s="27" t="s">
        <v>32</v>
      </c>
      <c r="G169" s="27" t="s">
        <v>32</v>
      </c>
      <c r="H169" s="1">
        <f>SUM(H170:H179)</f>
        <v>0</v>
      </c>
      <c r="I169" s="1">
        <f>SUM(I170:I179)</f>
        <v>0</v>
      </c>
      <c r="J169" s="1">
        <f>SUM(J170:J179)</f>
        <v>0</v>
      </c>
      <c r="K169" s="28" t="s">
        <v>51</v>
      </c>
      <c r="AI169" s="11" t="s">
        <v>55</v>
      </c>
      <c r="AS169" s="1">
        <f>SUM(AJ170:AJ179)</f>
        <v>0</v>
      </c>
      <c r="AT169" s="1">
        <f>SUM(AK170:AK179)</f>
        <v>0</v>
      </c>
      <c r="AU169" s="1">
        <f>SUM(AL170:AL179)</f>
        <v>0</v>
      </c>
    </row>
    <row r="170" spans="1:76" x14ac:dyDescent="0.25">
      <c r="A170" s="2" t="s">
        <v>317</v>
      </c>
      <c r="B170" s="3" t="s">
        <v>318</v>
      </c>
      <c r="C170" s="84" t="s">
        <v>319</v>
      </c>
      <c r="D170" s="85"/>
      <c r="E170" s="3" t="s">
        <v>59</v>
      </c>
      <c r="F170" s="29">
        <v>669.15</v>
      </c>
      <c r="G170" s="29">
        <v>0</v>
      </c>
      <c r="H170" s="29">
        <f>F170*AO170</f>
        <v>0</v>
      </c>
      <c r="I170" s="29">
        <f>F170*AP170</f>
        <v>0</v>
      </c>
      <c r="J170" s="29">
        <f>F170*G170</f>
        <v>0</v>
      </c>
      <c r="K170" s="30" t="s">
        <v>60</v>
      </c>
      <c r="Z170" s="29">
        <f>IF(AQ170="5",BJ170,0)</f>
        <v>0</v>
      </c>
      <c r="AB170" s="29">
        <f>IF(AQ170="1",BH170,0)</f>
        <v>0</v>
      </c>
      <c r="AC170" s="29">
        <f>IF(AQ170="1",BI170,0)</f>
        <v>0</v>
      </c>
      <c r="AD170" s="29">
        <f>IF(AQ170="7",BH170,0)</f>
        <v>0</v>
      </c>
      <c r="AE170" s="29">
        <f>IF(AQ170="7",BI170,0)</f>
        <v>0</v>
      </c>
      <c r="AF170" s="29">
        <f>IF(AQ170="2",BH170,0)</f>
        <v>0</v>
      </c>
      <c r="AG170" s="29">
        <f>IF(AQ170="2",BI170,0)</f>
        <v>0</v>
      </c>
      <c r="AH170" s="29">
        <f>IF(AQ170="0",BJ170,0)</f>
        <v>0</v>
      </c>
      <c r="AI170" s="11" t="s">
        <v>55</v>
      </c>
      <c r="AJ170" s="29">
        <f>IF(AN170=0,J170,0)</f>
        <v>0</v>
      </c>
      <c r="AK170" s="29">
        <f>IF(AN170=12,J170,0)</f>
        <v>0</v>
      </c>
      <c r="AL170" s="29">
        <f>IF(AN170=21,J170,0)</f>
        <v>0</v>
      </c>
      <c r="AN170" s="29">
        <v>21</v>
      </c>
      <c r="AO170" s="29">
        <f>G170*0.268224486</f>
        <v>0</v>
      </c>
      <c r="AP170" s="29">
        <f>G170*(1-0.268224486)</f>
        <v>0</v>
      </c>
      <c r="AQ170" s="31" t="s">
        <v>99</v>
      </c>
      <c r="AV170" s="29">
        <f>AW170+AX170</f>
        <v>0</v>
      </c>
      <c r="AW170" s="29">
        <f>F170*AO170</f>
        <v>0</v>
      </c>
      <c r="AX170" s="29">
        <f>F170*AP170</f>
        <v>0</v>
      </c>
      <c r="AY170" s="31" t="s">
        <v>320</v>
      </c>
      <c r="AZ170" s="31" t="s">
        <v>293</v>
      </c>
      <c r="BA170" s="11" t="s">
        <v>63</v>
      </c>
      <c r="BC170" s="29">
        <f>AW170+AX170</f>
        <v>0</v>
      </c>
      <c r="BD170" s="29">
        <f>G170/(100-BE170)*100</f>
        <v>0</v>
      </c>
      <c r="BE170" s="29">
        <v>0</v>
      </c>
      <c r="BF170" s="29">
        <f>170</f>
        <v>170</v>
      </c>
      <c r="BH170" s="29">
        <f>F170*AO170</f>
        <v>0</v>
      </c>
      <c r="BI170" s="29">
        <f>F170*AP170</f>
        <v>0</v>
      </c>
      <c r="BJ170" s="29">
        <f>F170*G170</f>
        <v>0</v>
      </c>
      <c r="BK170" s="29"/>
      <c r="BL170" s="29">
        <v>784</v>
      </c>
      <c r="BW170" s="29">
        <v>21</v>
      </c>
      <c r="BX170" s="5" t="s">
        <v>319</v>
      </c>
    </row>
    <row r="171" spans="1:76" x14ac:dyDescent="0.25">
      <c r="A171" s="32"/>
      <c r="C171" s="34" t="s">
        <v>321</v>
      </c>
      <c r="D171" s="34" t="s">
        <v>51</v>
      </c>
      <c r="F171" s="35">
        <v>669.15</v>
      </c>
      <c r="K171" s="36"/>
    </row>
    <row r="172" spans="1:76" x14ac:dyDescent="0.25">
      <c r="A172" s="32"/>
      <c r="B172" s="37" t="s">
        <v>69</v>
      </c>
      <c r="C172" s="86" t="s">
        <v>322</v>
      </c>
      <c r="D172" s="87"/>
      <c r="E172" s="87"/>
      <c r="F172" s="87"/>
      <c r="G172" s="87"/>
      <c r="H172" s="87"/>
      <c r="I172" s="87"/>
      <c r="J172" s="87"/>
      <c r="K172" s="88"/>
      <c r="BX172" s="33" t="s">
        <v>322</v>
      </c>
    </row>
    <row r="173" spans="1:76" x14ac:dyDescent="0.25">
      <c r="A173" s="2" t="s">
        <v>323</v>
      </c>
      <c r="B173" s="3" t="s">
        <v>324</v>
      </c>
      <c r="C173" s="84" t="s">
        <v>325</v>
      </c>
      <c r="D173" s="85"/>
      <c r="E173" s="3" t="s">
        <v>59</v>
      </c>
      <c r="F173" s="29">
        <v>669.15</v>
      </c>
      <c r="G173" s="29">
        <v>0</v>
      </c>
      <c r="H173" s="29">
        <f>F173*AO173</f>
        <v>0</v>
      </c>
      <c r="I173" s="29">
        <f>F173*AP173</f>
        <v>0</v>
      </c>
      <c r="J173" s="29">
        <f>F173*G173</f>
        <v>0</v>
      </c>
      <c r="K173" s="30" t="s">
        <v>60</v>
      </c>
      <c r="Z173" s="29">
        <f>IF(AQ173="5",BJ173,0)</f>
        <v>0</v>
      </c>
      <c r="AB173" s="29">
        <f>IF(AQ173="1",BH173,0)</f>
        <v>0</v>
      </c>
      <c r="AC173" s="29">
        <f>IF(AQ173="1",BI173,0)</f>
        <v>0</v>
      </c>
      <c r="AD173" s="29">
        <f>IF(AQ173="7",BH173,0)</f>
        <v>0</v>
      </c>
      <c r="AE173" s="29">
        <f>IF(AQ173="7",BI173,0)</f>
        <v>0</v>
      </c>
      <c r="AF173" s="29">
        <f>IF(AQ173="2",BH173,0)</f>
        <v>0</v>
      </c>
      <c r="AG173" s="29">
        <f>IF(AQ173="2",BI173,0)</f>
        <v>0</v>
      </c>
      <c r="AH173" s="29">
        <f>IF(AQ173="0",BJ173,0)</f>
        <v>0</v>
      </c>
      <c r="AI173" s="11" t="s">
        <v>55</v>
      </c>
      <c r="AJ173" s="29">
        <f>IF(AN173=0,J173,0)</f>
        <v>0</v>
      </c>
      <c r="AK173" s="29">
        <f>IF(AN173=12,J173,0)</f>
        <v>0</v>
      </c>
      <c r="AL173" s="29">
        <f>IF(AN173=21,J173,0)</f>
        <v>0</v>
      </c>
      <c r="AN173" s="29">
        <v>21</v>
      </c>
      <c r="AO173" s="29">
        <f>G173*0.2301352</f>
        <v>0</v>
      </c>
      <c r="AP173" s="29">
        <f>G173*(1-0.2301352)</f>
        <v>0</v>
      </c>
      <c r="AQ173" s="31" t="s">
        <v>99</v>
      </c>
      <c r="AV173" s="29">
        <f>AW173+AX173</f>
        <v>0</v>
      </c>
      <c r="AW173" s="29">
        <f>F173*AO173</f>
        <v>0</v>
      </c>
      <c r="AX173" s="29">
        <f>F173*AP173</f>
        <v>0</v>
      </c>
      <c r="AY173" s="31" t="s">
        <v>320</v>
      </c>
      <c r="AZ173" s="31" t="s">
        <v>293</v>
      </c>
      <c r="BA173" s="11" t="s">
        <v>63</v>
      </c>
      <c r="BC173" s="29">
        <f>AW173+AX173</f>
        <v>0</v>
      </c>
      <c r="BD173" s="29">
        <f>G173/(100-BE173)*100</f>
        <v>0</v>
      </c>
      <c r="BE173" s="29">
        <v>0</v>
      </c>
      <c r="BF173" s="29">
        <f>173</f>
        <v>173</v>
      </c>
      <c r="BH173" s="29">
        <f>F173*AO173</f>
        <v>0</v>
      </c>
      <c r="BI173" s="29">
        <f>F173*AP173</f>
        <v>0</v>
      </c>
      <c r="BJ173" s="29">
        <f>F173*G173</f>
        <v>0</v>
      </c>
      <c r="BK173" s="29"/>
      <c r="BL173" s="29">
        <v>784</v>
      </c>
      <c r="BW173" s="29">
        <v>21</v>
      </c>
      <c r="BX173" s="5" t="s">
        <v>325</v>
      </c>
    </row>
    <row r="174" spans="1:76" x14ac:dyDescent="0.25">
      <c r="A174" s="32"/>
      <c r="C174" s="34" t="s">
        <v>321</v>
      </c>
      <c r="D174" s="34" t="s">
        <v>51</v>
      </c>
      <c r="F174" s="35">
        <v>669.15</v>
      </c>
      <c r="K174" s="36"/>
    </row>
    <row r="175" spans="1:76" ht="25.5" x14ac:dyDescent="0.25">
      <c r="A175" s="32"/>
      <c r="B175" s="37" t="s">
        <v>69</v>
      </c>
      <c r="C175" s="86" t="s">
        <v>326</v>
      </c>
      <c r="D175" s="87"/>
      <c r="E175" s="87"/>
      <c r="F175" s="87"/>
      <c r="G175" s="87"/>
      <c r="H175" s="87"/>
      <c r="I175" s="87"/>
      <c r="J175" s="87"/>
      <c r="K175" s="88"/>
      <c r="BX175" s="33" t="s">
        <v>326</v>
      </c>
    </row>
    <row r="176" spans="1:76" x14ac:dyDescent="0.25">
      <c r="A176" s="2" t="s">
        <v>327</v>
      </c>
      <c r="B176" s="3" t="s">
        <v>328</v>
      </c>
      <c r="C176" s="84" t="s">
        <v>329</v>
      </c>
      <c r="D176" s="85"/>
      <c r="E176" s="3" t="s">
        <v>59</v>
      </c>
      <c r="F176" s="29">
        <v>223.05</v>
      </c>
      <c r="G176" s="29">
        <v>0</v>
      </c>
      <c r="H176" s="29">
        <f>F176*AO176</f>
        <v>0</v>
      </c>
      <c r="I176" s="29">
        <f>F176*AP176</f>
        <v>0</v>
      </c>
      <c r="J176" s="29">
        <f>F176*G176</f>
        <v>0</v>
      </c>
      <c r="K176" s="30" t="s">
        <v>60</v>
      </c>
      <c r="Z176" s="29">
        <f>IF(AQ176="5",BJ176,0)</f>
        <v>0</v>
      </c>
      <c r="AB176" s="29">
        <f>IF(AQ176="1",BH176,0)</f>
        <v>0</v>
      </c>
      <c r="AC176" s="29">
        <f>IF(AQ176="1",BI176,0)</f>
        <v>0</v>
      </c>
      <c r="AD176" s="29">
        <f>IF(AQ176="7",BH176,0)</f>
        <v>0</v>
      </c>
      <c r="AE176" s="29">
        <f>IF(AQ176="7",BI176,0)</f>
        <v>0</v>
      </c>
      <c r="AF176" s="29">
        <f>IF(AQ176="2",BH176,0)</f>
        <v>0</v>
      </c>
      <c r="AG176" s="29">
        <f>IF(AQ176="2",BI176,0)</f>
        <v>0</v>
      </c>
      <c r="AH176" s="29">
        <f>IF(AQ176="0",BJ176,0)</f>
        <v>0</v>
      </c>
      <c r="AI176" s="11" t="s">
        <v>55</v>
      </c>
      <c r="AJ176" s="29">
        <f>IF(AN176=0,J176,0)</f>
        <v>0</v>
      </c>
      <c r="AK176" s="29">
        <f>IF(AN176=12,J176,0)</f>
        <v>0</v>
      </c>
      <c r="AL176" s="29">
        <f>IF(AN176=21,J176,0)</f>
        <v>0</v>
      </c>
      <c r="AN176" s="29">
        <v>21</v>
      </c>
      <c r="AO176" s="29">
        <f>G176*0.624</f>
        <v>0</v>
      </c>
      <c r="AP176" s="29">
        <f>G176*(1-0.624)</f>
        <v>0</v>
      </c>
      <c r="AQ176" s="31" t="s">
        <v>99</v>
      </c>
      <c r="AV176" s="29">
        <f>AW176+AX176</f>
        <v>0</v>
      </c>
      <c r="AW176" s="29">
        <f>F176*AO176</f>
        <v>0</v>
      </c>
      <c r="AX176" s="29">
        <f>F176*AP176</f>
        <v>0</v>
      </c>
      <c r="AY176" s="31" t="s">
        <v>320</v>
      </c>
      <c r="AZ176" s="31" t="s">
        <v>293</v>
      </c>
      <c r="BA176" s="11" t="s">
        <v>63</v>
      </c>
      <c r="BC176" s="29">
        <f>AW176+AX176</f>
        <v>0</v>
      </c>
      <c r="BD176" s="29">
        <f>G176/(100-BE176)*100</f>
        <v>0</v>
      </c>
      <c r="BE176" s="29">
        <v>0</v>
      </c>
      <c r="BF176" s="29">
        <f>176</f>
        <v>176</v>
      </c>
      <c r="BH176" s="29">
        <f>F176*AO176</f>
        <v>0</v>
      </c>
      <c r="BI176" s="29">
        <f>F176*AP176</f>
        <v>0</v>
      </c>
      <c r="BJ176" s="29">
        <f>F176*G176</f>
        <v>0</v>
      </c>
      <c r="BK176" s="29"/>
      <c r="BL176" s="29">
        <v>784</v>
      </c>
      <c r="BW176" s="29">
        <v>21</v>
      </c>
      <c r="BX176" s="5" t="s">
        <v>329</v>
      </c>
    </row>
    <row r="177" spans="1:76" ht="13.5" customHeight="1" x14ac:dyDescent="0.25">
      <c r="A177" s="32"/>
      <c r="C177" s="86" t="s">
        <v>330</v>
      </c>
      <c r="D177" s="87"/>
      <c r="E177" s="87"/>
      <c r="F177" s="87"/>
      <c r="G177" s="87"/>
      <c r="H177" s="87"/>
      <c r="I177" s="87"/>
      <c r="J177" s="87"/>
      <c r="K177" s="88"/>
    </row>
    <row r="178" spans="1:76" x14ac:dyDescent="0.25">
      <c r="A178" s="32"/>
      <c r="C178" s="34" t="s">
        <v>331</v>
      </c>
      <c r="D178" s="34" t="s">
        <v>51</v>
      </c>
      <c r="F178" s="35">
        <v>223.05</v>
      </c>
      <c r="K178" s="36"/>
    </row>
    <row r="179" spans="1:76" x14ac:dyDescent="0.25">
      <c r="A179" s="2" t="s">
        <v>332</v>
      </c>
      <c r="B179" s="3" t="s">
        <v>333</v>
      </c>
      <c r="C179" s="84" t="s">
        <v>334</v>
      </c>
      <c r="D179" s="85"/>
      <c r="E179" s="3" t="s">
        <v>59</v>
      </c>
      <c r="F179" s="29">
        <v>223.05</v>
      </c>
      <c r="G179" s="29">
        <v>0</v>
      </c>
      <c r="H179" s="29">
        <f>F179*AO179</f>
        <v>0</v>
      </c>
      <c r="I179" s="29">
        <f>F179*AP179</f>
        <v>0</v>
      </c>
      <c r="J179" s="29">
        <f>F179*G179</f>
        <v>0</v>
      </c>
      <c r="K179" s="30" t="s">
        <v>60</v>
      </c>
      <c r="Z179" s="29">
        <f>IF(AQ179="5",BJ179,0)</f>
        <v>0</v>
      </c>
      <c r="AB179" s="29">
        <f>IF(AQ179="1",BH179,0)</f>
        <v>0</v>
      </c>
      <c r="AC179" s="29">
        <f>IF(AQ179="1",BI179,0)</f>
        <v>0</v>
      </c>
      <c r="AD179" s="29">
        <f>IF(AQ179="7",BH179,0)</f>
        <v>0</v>
      </c>
      <c r="AE179" s="29">
        <f>IF(AQ179="7",BI179,0)</f>
        <v>0</v>
      </c>
      <c r="AF179" s="29">
        <f>IF(AQ179="2",BH179,0)</f>
        <v>0</v>
      </c>
      <c r="AG179" s="29">
        <f>IF(AQ179="2",BI179,0)</f>
        <v>0</v>
      </c>
      <c r="AH179" s="29">
        <f>IF(AQ179="0",BJ179,0)</f>
        <v>0</v>
      </c>
      <c r="AI179" s="11" t="s">
        <v>55</v>
      </c>
      <c r="AJ179" s="29">
        <f>IF(AN179=0,J179,0)</f>
        <v>0</v>
      </c>
      <c r="AK179" s="29">
        <f>IF(AN179=12,J179,0)</f>
        <v>0</v>
      </c>
      <c r="AL179" s="29">
        <f>IF(AN179=21,J179,0)</f>
        <v>0</v>
      </c>
      <c r="AN179" s="29">
        <v>21</v>
      </c>
      <c r="AO179" s="29">
        <f>G179*0.329460887</f>
        <v>0</v>
      </c>
      <c r="AP179" s="29">
        <f>G179*(1-0.329460887)</f>
        <v>0</v>
      </c>
      <c r="AQ179" s="31" t="s">
        <v>99</v>
      </c>
      <c r="AV179" s="29">
        <f>AW179+AX179</f>
        <v>0</v>
      </c>
      <c r="AW179" s="29">
        <f>F179*AO179</f>
        <v>0</v>
      </c>
      <c r="AX179" s="29">
        <f>F179*AP179</f>
        <v>0</v>
      </c>
      <c r="AY179" s="31" t="s">
        <v>320</v>
      </c>
      <c r="AZ179" s="31" t="s">
        <v>293</v>
      </c>
      <c r="BA179" s="11" t="s">
        <v>63</v>
      </c>
      <c r="BC179" s="29">
        <f>AW179+AX179</f>
        <v>0</v>
      </c>
      <c r="BD179" s="29">
        <f>G179/(100-BE179)*100</f>
        <v>0</v>
      </c>
      <c r="BE179" s="29">
        <v>0</v>
      </c>
      <c r="BF179" s="29">
        <f>179</f>
        <v>179</v>
      </c>
      <c r="BH179" s="29">
        <f>F179*AO179</f>
        <v>0</v>
      </c>
      <c r="BI179" s="29">
        <f>F179*AP179</f>
        <v>0</v>
      </c>
      <c r="BJ179" s="29">
        <f>F179*G179</f>
        <v>0</v>
      </c>
      <c r="BK179" s="29"/>
      <c r="BL179" s="29">
        <v>784</v>
      </c>
      <c r="BW179" s="29">
        <v>21</v>
      </c>
      <c r="BX179" s="5" t="s">
        <v>334</v>
      </c>
    </row>
    <row r="180" spans="1:76" ht="13.5" customHeight="1" x14ac:dyDescent="0.25">
      <c r="A180" s="32"/>
      <c r="C180" s="86" t="s">
        <v>335</v>
      </c>
      <c r="D180" s="87"/>
      <c r="E180" s="87"/>
      <c r="F180" s="87"/>
      <c r="G180" s="87"/>
      <c r="H180" s="87"/>
      <c r="I180" s="87"/>
      <c r="J180" s="87"/>
      <c r="K180" s="88"/>
    </row>
    <row r="181" spans="1:76" x14ac:dyDescent="0.25">
      <c r="A181" s="32"/>
      <c r="C181" s="34" t="s">
        <v>331</v>
      </c>
      <c r="D181" s="34" t="s">
        <v>51</v>
      </c>
      <c r="F181" s="35">
        <v>223.05</v>
      </c>
      <c r="K181" s="36"/>
    </row>
    <row r="182" spans="1:76" x14ac:dyDescent="0.25">
      <c r="A182" s="25" t="s">
        <v>51</v>
      </c>
      <c r="B182" s="26" t="s">
        <v>336</v>
      </c>
      <c r="C182" s="93" t="s">
        <v>337</v>
      </c>
      <c r="D182" s="94"/>
      <c r="E182" s="27" t="s">
        <v>32</v>
      </c>
      <c r="F182" s="27" t="s">
        <v>32</v>
      </c>
      <c r="G182" s="27" t="s">
        <v>32</v>
      </c>
      <c r="H182" s="1">
        <f>SUM(H183:H207)</f>
        <v>0</v>
      </c>
      <c r="I182" s="1">
        <f>SUM(I183:I207)</f>
        <v>0</v>
      </c>
      <c r="J182" s="1">
        <f>SUM(J183:J207)</f>
        <v>0</v>
      </c>
      <c r="K182" s="28" t="s">
        <v>51</v>
      </c>
      <c r="AI182" s="11" t="s">
        <v>55</v>
      </c>
      <c r="AS182" s="1">
        <f>SUM(AJ183:AJ207)</f>
        <v>0</v>
      </c>
      <c r="AT182" s="1">
        <f>SUM(AK183:AK207)</f>
        <v>0</v>
      </c>
      <c r="AU182" s="1">
        <f>SUM(AL183:AL207)</f>
        <v>0</v>
      </c>
    </row>
    <row r="183" spans="1:76" x14ac:dyDescent="0.25">
      <c r="A183" s="2" t="s">
        <v>338</v>
      </c>
      <c r="B183" s="3" t="s">
        <v>339</v>
      </c>
      <c r="C183" s="84" t="s">
        <v>340</v>
      </c>
      <c r="D183" s="85"/>
      <c r="E183" s="3" t="s">
        <v>59</v>
      </c>
      <c r="F183" s="29">
        <v>163.47</v>
      </c>
      <c r="G183" s="29">
        <v>0</v>
      </c>
      <c r="H183" s="29">
        <f>F183*AO183</f>
        <v>0</v>
      </c>
      <c r="I183" s="29">
        <f>F183*AP183</f>
        <v>0</v>
      </c>
      <c r="J183" s="29">
        <f>F183*G183</f>
        <v>0</v>
      </c>
      <c r="K183" s="30" t="s">
        <v>60</v>
      </c>
      <c r="Z183" s="29">
        <f>IF(AQ183="5",BJ183,0)</f>
        <v>0</v>
      </c>
      <c r="AB183" s="29">
        <f>IF(AQ183="1",BH183,0)</f>
        <v>0</v>
      </c>
      <c r="AC183" s="29">
        <f>IF(AQ183="1",BI183,0)</f>
        <v>0</v>
      </c>
      <c r="AD183" s="29">
        <f>IF(AQ183="7",BH183,0)</f>
        <v>0</v>
      </c>
      <c r="AE183" s="29">
        <f>IF(AQ183="7",BI183,0)</f>
        <v>0</v>
      </c>
      <c r="AF183" s="29">
        <f>IF(AQ183="2",BH183,0)</f>
        <v>0</v>
      </c>
      <c r="AG183" s="29">
        <f>IF(AQ183="2",BI183,0)</f>
        <v>0</v>
      </c>
      <c r="AH183" s="29">
        <f>IF(AQ183="0",BJ183,0)</f>
        <v>0</v>
      </c>
      <c r="AI183" s="11" t="s">
        <v>55</v>
      </c>
      <c r="AJ183" s="29">
        <f>IF(AN183=0,J183,0)</f>
        <v>0</v>
      </c>
      <c r="AK183" s="29">
        <f>IF(AN183=12,J183,0)</f>
        <v>0</v>
      </c>
      <c r="AL183" s="29">
        <f>IF(AN183=21,J183,0)</f>
        <v>0</v>
      </c>
      <c r="AN183" s="29">
        <v>21</v>
      </c>
      <c r="AO183" s="29">
        <f>G183*0.021890638</f>
        <v>0</v>
      </c>
      <c r="AP183" s="29">
        <f>G183*(1-0.021890638)</f>
        <v>0</v>
      </c>
      <c r="AQ183" s="31" t="s">
        <v>56</v>
      </c>
      <c r="AV183" s="29">
        <f>AW183+AX183</f>
        <v>0</v>
      </c>
      <c r="AW183" s="29">
        <f>F183*AO183</f>
        <v>0</v>
      </c>
      <c r="AX183" s="29">
        <f>F183*AP183</f>
        <v>0</v>
      </c>
      <c r="AY183" s="31" t="s">
        <v>341</v>
      </c>
      <c r="AZ183" s="31" t="s">
        <v>342</v>
      </c>
      <c r="BA183" s="11" t="s">
        <v>63</v>
      </c>
      <c r="BC183" s="29">
        <f>AW183+AX183</f>
        <v>0</v>
      </c>
      <c r="BD183" s="29">
        <f>G183/(100-BE183)*100</f>
        <v>0</v>
      </c>
      <c r="BE183" s="29">
        <v>0</v>
      </c>
      <c r="BF183" s="29">
        <f>183</f>
        <v>183</v>
      </c>
      <c r="BH183" s="29">
        <f>F183*AO183</f>
        <v>0</v>
      </c>
      <c r="BI183" s="29">
        <f>F183*AP183</f>
        <v>0</v>
      </c>
      <c r="BJ183" s="29">
        <f>F183*G183</f>
        <v>0</v>
      </c>
      <c r="BK183" s="29"/>
      <c r="BL183" s="29">
        <v>95</v>
      </c>
      <c r="BW183" s="29">
        <v>21</v>
      </c>
      <c r="BX183" s="5" t="s">
        <v>340</v>
      </c>
    </row>
    <row r="184" spans="1:76" x14ac:dyDescent="0.25">
      <c r="A184" s="32"/>
      <c r="C184" s="34" t="s">
        <v>122</v>
      </c>
      <c r="D184" s="34" t="s">
        <v>51</v>
      </c>
      <c r="F184" s="35">
        <v>163.47</v>
      </c>
      <c r="K184" s="36"/>
    </row>
    <row r="185" spans="1:76" x14ac:dyDescent="0.25">
      <c r="A185" s="2" t="s">
        <v>343</v>
      </c>
      <c r="B185" s="3" t="s">
        <v>344</v>
      </c>
      <c r="C185" s="84" t="s">
        <v>345</v>
      </c>
      <c r="D185" s="85"/>
      <c r="E185" s="3" t="s">
        <v>59</v>
      </c>
      <c r="F185" s="29">
        <v>223.05</v>
      </c>
      <c r="G185" s="29">
        <v>0</v>
      </c>
      <c r="H185" s="29">
        <f>F185*AO185</f>
        <v>0</v>
      </c>
      <c r="I185" s="29">
        <f>F185*AP185</f>
        <v>0</v>
      </c>
      <c r="J185" s="29">
        <f>F185*G185</f>
        <v>0</v>
      </c>
      <c r="K185" s="30" t="s">
        <v>60</v>
      </c>
      <c r="Z185" s="29">
        <f>IF(AQ185="5",BJ185,0)</f>
        <v>0</v>
      </c>
      <c r="AB185" s="29">
        <f>IF(AQ185="1",BH185,0)</f>
        <v>0</v>
      </c>
      <c r="AC185" s="29">
        <f>IF(AQ185="1",BI185,0)</f>
        <v>0</v>
      </c>
      <c r="AD185" s="29">
        <f>IF(AQ185="7",BH185,0)</f>
        <v>0</v>
      </c>
      <c r="AE185" s="29">
        <f>IF(AQ185="7",BI185,0)</f>
        <v>0</v>
      </c>
      <c r="AF185" s="29">
        <f>IF(AQ185="2",BH185,0)</f>
        <v>0</v>
      </c>
      <c r="AG185" s="29">
        <f>IF(AQ185="2",BI185,0)</f>
        <v>0</v>
      </c>
      <c r="AH185" s="29">
        <f>IF(AQ185="0",BJ185,0)</f>
        <v>0</v>
      </c>
      <c r="AI185" s="11" t="s">
        <v>55</v>
      </c>
      <c r="AJ185" s="29">
        <f>IF(AN185=0,J185,0)</f>
        <v>0</v>
      </c>
      <c r="AK185" s="29">
        <f>IF(AN185=12,J185,0)</f>
        <v>0</v>
      </c>
      <c r="AL185" s="29">
        <f>IF(AN185=21,J185,0)</f>
        <v>0</v>
      </c>
      <c r="AN185" s="29">
        <v>21</v>
      </c>
      <c r="AO185" s="29">
        <f>G185*0.368692287</f>
        <v>0</v>
      </c>
      <c r="AP185" s="29">
        <f>G185*(1-0.368692287)</f>
        <v>0</v>
      </c>
      <c r="AQ185" s="31" t="s">
        <v>56</v>
      </c>
      <c r="AV185" s="29">
        <f>AW185+AX185</f>
        <v>0</v>
      </c>
      <c r="AW185" s="29">
        <f>F185*AO185</f>
        <v>0</v>
      </c>
      <c r="AX185" s="29">
        <f>F185*AP185</f>
        <v>0</v>
      </c>
      <c r="AY185" s="31" t="s">
        <v>341</v>
      </c>
      <c r="AZ185" s="31" t="s">
        <v>342</v>
      </c>
      <c r="BA185" s="11" t="s">
        <v>63</v>
      </c>
      <c r="BC185" s="29">
        <f>AW185+AX185</f>
        <v>0</v>
      </c>
      <c r="BD185" s="29">
        <f>G185/(100-BE185)*100</f>
        <v>0</v>
      </c>
      <c r="BE185" s="29">
        <v>0</v>
      </c>
      <c r="BF185" s="29">
        <f>185</f>
        <v>185</v>
      </c>
      <c r="BH185" s="29">
        <f>F185*AO185</f>
        <v>0</v>
      </c>
      <c r="BI185" s="29">
        <f>F185*AP185</f>
        <v>0</v>
      </c>
      <c r="BJ185" s="29">
        <f>F185*G185</f>
        <v>0</v>
      </c>
      <c r="BK185" s="29"/>
      <c r="BL185" s="29">
        <v>95</v>
      </c>
      <c r="BW185" s="29">
        <v>21</v>
      </c>
      <c r="BX185" s="5" t="s">
        <v>345</v>
      </c>
    </row>
    <row r="186" spans="1:76" x14ac:dyDescent="0.25">
      <c r="A186" s="32"/>
      <c r="C186" s="34" t="s">
        <v>346</v>
      </c>
      <c r="D186" s="34" t="s">
        <v>51</v>
      </c>
      <c r="F186" s="35">
        <v>93</v>
      </c>
      <c r="K186" s="36"/>
    </row>
    <row r="187" spans="1:76" x14ac:dyDescent="0.25">
      <c r="A187" s="32"/>
      <c r="C187" s="34" t="s">
        <v>347</v>
      </c>
      <c r="D187" s="34" t="s">
        <v>51</v>
      </c>
      <c r="F187" s="35">
        <v>121.05</v>
      </c>
      <c r="K187" s="36"/>
    </row>
    <row r="188" spans="1:76" x14ac:dyDescent="0.25">
      <c r="A188" s="32"/>
      <c r="C188" s="34" t="s">
        <v>348</v>
      </c>
      <c r="D188" s="34" t="s">
        <v>51</v>
      </c>
      <c r="F188" s="35">
        <v>9</v>
      </c>
      <c r="K188" s="36"/>
    </row>
    <row r="189" spans="1:76" x14ac:dyDescent="0.25">
      <c r="A189" s="2" t="s">
        <v>349</v>
      </c>
      <c r="B189" s="3" t="s">
        <v>350</v>
      </c>
      <c r="C189" s="84" t="s">
        <v>351</v>
      </c>
      <c r="D189" s="85"/>
      <c r="E189" s="3" t="s">
        <v>59</v>
      </c>
      <c r="F189" s="29">
        <v>223.05</v>
      </c>
      <c r="G189" s="29">
        <v>0</v>
      </c>
      <c r="H189" s="29">
        <f>F189*AO189</f>
        <v>0</v>
      </c>
      <c r="I189" s="29">
        <f>F189*AP189</f>
        <v>0</v>
      </c>
      <c r="J189" s="29">
        <f>F189*G189</f>
        <v>0</v>
      </c>
      <c r="K189" s="30" t="s">
        <v>60</v>
      </c>
      <c r="Z189" s="29">
        <f>IF(AQ189="5",BJ189,0)</f>
        <v>0</v>
      </c>
      <c r="AB189" s="29">
        <f>IF(AQ189="1",BH189,0)</f>
        <v>0</v>
      </c>
      <c r="AC189" s="29">
        <f>IF(AQ189="1",BI189,0)</f>
        <v>0</v>
      </c>
      <c r="AD189" s="29">
        <f>IF(AQ189="7",BH189,0)</f>
        <v>0</v>
      </c>
      <c r="AE189" s="29">
        <f>IF(AQ189="7",BI189,0)</f>
        <v>0</v>
      </c>
      <c r="AF189" s="29">
        <f>IF(AQ189="2",BH189,0)</f>
        <v>0</v>
      </c>
      <c r="AG189" s="29">
        <f>IF(AQ189="2",BI189,0)</f>
        <v>0</v>
      </c>
      <c r="AH189" s="29">
        <f>IF(AQ189="0",BJ189,0)</f>
        <v>0</v>
      </c>
      <c r="AI189" s="11" t="s">
        <v>55</v>
      </c>
      <c r="AJ189" s="29">
        <f>IF(AN189=0,J189,0)</f>
        <v>0</v>
      </c>
      <c r="AK189" s="29">
        <f>IF(AN189=12,J189,0)</f>
        <v>0</v>
      </c>
      <c r="AL189" s="29">
        <f>IF(AN189=21,J189,0)</f>
        <v>0</v>
      </c>
      <c r="AN189" s="29">
        <v>21</v>
      </c>
      <c r="AO189" s="29">
        <f>G189*0.013986864</f>
        <v>0</v>
      </c>
      <c r="AP189" s="29">
        <f>G189*(1-0.013986864)</f>
        <v>0</v>
      </c>
      <c r="AQ189" s="31" t="s">
        <v>56</v>
      </c>
      <c r="AV189" s="29">
        <f>AW189+AX189</f>
        <v>0</v>
      </c>
      <c r="AW189" s="29">
        <f>F189*AO189</f>
        <v>0</v>
      </c>
      <c r="AX189" s="29">
        <f>F189*AP189</f>
        <v>0</v>
      </c>
      <c r="AY189" s="31" t="s">
        <v>341</v>
      </c>
      <c r="AZ189" s="31" t="s">
        <v>342</v>
      </c>
      <c r="BA189" s="11" t="s">
        <v>63</v>
      </c>
      <c r="BC189" s="29">
        <f>AW189+AX189</f>
        <v>0</v>
      </c>
      <c r="BD189" s="29">
        <f>G189/(100-BE189)*100</f>
        <v>0</v>
      </c>
      <c r="BE189" s="29">
        <v>0</v>
      </c>
      <c r="BF189" s="29">
        <f>189</f>
        <v>189</v>
      </c>
      <c r="BH189" s="29">
        <f>F189*AO189</f>
        <v>0</v>
      </c>
      <c r="BI189" s="29">
        <f>F189*AP189</f>
        <v>0</v>
      </c>
      <c r="BJ189" s="29">
        <f>F189*G189</f>
        <v>0</v>
      </c>
      <c r="BK189" s="29"/>
      <c r="BL189" s="29">
        <v>95</v>
      </c>
      <c r="BW189" s="29">
        <v>21</v>
      </c>
      <c r="BX189" s="5" t="s">
        <v>351</v>
      </c>
    </row>
    <row r="190" spans="1:76" x14ac:dyDescent="0.25">
      <c r="A190" s="32"/>
      <c r="C190" s="34" t="s">
        <v>331</v>
      </c>
      <c r="D190" s="34" t="s">
        <v>51</v>
      </c>
      <c r="F190" s="35">
        <v>223.05</v>
      </c>
      <c r="K190" s="36"/>
    </row>
    <row r="191" spans="1:76" ht="25.5" x14ac:dyDescent="0.25">
      <c r="A191" s="32"/>
      <c r="B191" s="37" t="s">
        <v>69</v>
      </c>
      <c r="C191" s="86" t="s">
        <v>352</v>
      </c>
      <c r="D191" s="87"/>
      <c r="E191" s="87"/>
      <c r="F191" s="87"/>
      <c r="G191" s="87"/>
      <c r="H191" s="87"/>
      <c r="I191" s="87"/>
      <c r="J191" s="87"/>
      <c r="K191" s="88"/>
      <c r="BX191" s="33" t="s">
        <v>352</v>
      </c>
    </row>
    <row r="192" spans="1:76" x14ac:dyDescent="0.25">
      <c r="A192" s="2" t="s">
        <v>353</v>
      </c>
      <c r="B192" s="3" t="s">
        <v>354</v>
      </c>
      <c r="C192" s="84" t="s">
        <v>355</v>
      </c>
      <c r="D192" s="85"/>
      <c r="E192" s="3" t="s">
        <v>356</v>
      </c>
      <c r="F192" s="29">
        <v>4</v>
      </c>
      <c r="G192" s="29">
        <v>0</v>
      </c>
      <c r="H192" s="29">
        <f>F192*AO192</f>
        <v>0</v>
      </c>
      <c r="I192" s="29">
        <f>F192*AP192</f>
        <v>0</v>
      </c>
      <c r="J192" s="29">
        <f>F192*G192</f>
        <v>0</v>
      </c>
      <c r="K192" s="30" t="s">
        <v>60</v>
      </c>
      <c r="Z192" s="29">
        <f>IF(AQ192="5",BJ192,0)</f>
        <v>0</v>
      </c>
      <c r="AB192" s="29">
        <f>IF(AQ192="1",BH192,0)</f>
        <v>0</v>
      </c>
      <c r="AC192" s="29">
        <f>IF(AQ192="1",BI192,0)</f>
        <v>0</v>
      </c>
      <c r="AD192" s="29">
        <f>IF(AQ192="7",BH192,0)</f>
        <v>0</v>
      </c>
      <c r="AE192" s="29">
        <f>IF(AQ192="7",BI192,0)</f>
        <v>0</v>
      </c>
      <c r="AF192" s="29">
        <f>IF(AQ192="2",BH192,0)</f>
        <v>0</v>
      </c>
      <c r="AG192" s="29">
        <f>IF(AQ192="2",BI192,0)</f>
        <v>0</v>
      </c>
      <c r="AH192" s="29">
        <f>IF(AQ192="0",BJ192,0)</f>
        <v>0</v>
      </c>
      <c r="AI192" s="11" t="s">
        <v>55</v>
      </c>
      <c r="AJ192" s="29">
        <f>IF(AN192=0,J192,0)</f>
        <v>0</v>
      </c>
      <c r="AK192" s="29">
        <f>IF(AN192=12,J192,0)</f>
        <v>0</v>
      </c>
      <c r="AL192" s="29">
        <f>IF(AN192=21,J192,0)</f>
        <v>0</v>
      </c>
      <c r="AN192" s="29">
        <v>21</v>
      </c>
      <c r="AO192" s="29">
        <f>G192*0</f>
        <v>0</v>
      </c>
      <c r="AP192" s="29">
        <f>G192*(1-0)</f>
        <v>0</v>
      </c>
      <c r="AQ192" s="31" t="s">
        <v>56</v>
      </c>
      <c r="AV192" s="29">
        <f>AW192+AX192</f>
        <v>0</v>
      </c>
      <c r="AW192" s="29">
        <f>F192*AO192</f>
        <v>0</v>
      </c>
      <c r="AX192" s="29">
        <f>F192*AP192</f>
        <v>0</v>
      </c>
      <c r="AY192" s="31" t="s">
        <v>341</v>
      </c>
      <c r="AZ192" s="31" t="s">
        <v>342</v>
      </c>
      <c r="BA192" s="11" t="s">
        <v>63</v>
      </c>
      <c r="BC192" s="29">
        <f>AW192+AX192</f>
        <v>0</v>
      </c>
      <c r="BD192" s="29">
        <f>G192/(100-BE192)*100</f>
        <v>0</v>
      </c>
      <c r="BE192" s="29">
        <v>0</v>
      </c>
      <c r="BF192" s="29">
        <f>192</f>
        <v>192</v>
      </c>
      <c r="BH192" s="29">
        <f>F192*AO192</f>
        <v>0</v>
      </c>
      <c r="BI192" s="29">
        <f>F192*AP192</f>
        <v>0</v>
      </c>
      <c r="BJ192" s="29">
        <f>F192*G192</f>
        <v>0</v>
      </c>
      <c r="BK192" s="29"/>
      <c r="BL192" s="29">
        <v>95</v>
      </c>
      <c r="BW192" s="29">
        <v>21</v>
      </c>
      <c r="BX192" s="5" t="s">
        <v>355</v>
      </c>
    </row>
    <row r="193" spans="1:76" ht="13.5" customHeight="1" x14ac:dyDescent="0.25">
      <c r="A193" s="32"/>
      <c r="C193" s="86" t="s">
        <v>357</v>
      </c>
      <c r="D193" s="87"/>
      <c r="E193" s="87"/>
      <c r="F193" s="87"/>
      <c r="G193" s="87"/>
      <c r="H193" s="87"/>
      <c r="I193" s="87"/>
      <c r="J193" s="87"/>
      <c r="K193" s="88"/>
    </row>
    <row r="194" spans="1:76" x14ac:dyDescent="0.25">
      <c r="A194" s="32"/>
      <c r="C194" s="34" t="s">
        <v>81</v>
      </c>
      <c r="D194" s="34" t="s">
        <v>51</v>
      </c>
      <c r="F194" s="35">
        <v>4</v>
      </c>
      <c r="K194" s="36"/>
    </row>
    <row r="195" spans="1:76" x14ac:dyDescent="0.25">
      <c r="A195" s="32"/>
      <c r="B195" s="37" t="s">
        <v>69</v>
      </c>
      <c r="C195" s="86" t="s">
        <v>358</v>
      </c>
      <c r="D195" s="87"/>
      <c r="E195" s="87"/>
      <c r="F195" s="87"/>
      <c r="G195" s="87"/>
      <c r="H195" s="87"/>
      <c r="I195" s="87"/>
      <c r="J195" s="87"/>
      <c r="K195" s="88"/>
      <c r="BX195" s="33" t="s">
        <v>358</v>
      </c>
    </row>
    <row r="196" spans="1:76" x14ac:dyDescent="0.25">
      <c r="A196" s="2" t="s">
        <v>359</v>
      </c>
      <c r="B196" s="3" t="s">
        <v>360</v>
      </c>
      <c r="C196" s="84" t="s">
        <v>361</v>
      </c>
      <c r="D196" s="85"/>
      <c r="E196" s="3" t="s">
        <v>362</v>
      </c>
      <c r="F196" s="29">
        <v>106</v>
      </c>
      <c r="G196" s="29">
        <v>0</v>
      </c>
      <c r="H196" s="29">
        <f>F196*AO196</f>
        <v>0</v>
      </c>
      <c r="I196" s="29">
        <f>F196*AP196</f>
        <v>0</v>
      </c>
      <c r="J196" s="29">
        <f>F196*G196</f>
        <v>0</v>
      </c>
      <c r="K196" s="30" t="s">
        <v>60</v>
      </c>
      <c r="Z196" s="29">
        <f>IF(AQ196="5",BJ196,0)</f>
        <v>0</v>
      </c>
      <c r="AB196" s="29">
        <f>IF(AQ196="1",BH196,0)</f>
        <v>0</v>
      </c>
      <c r="AC196" s="29">
        <f>IF(AQ196="1",BI196,0)</f>
        <v>0</v>
      </c>
      <c r="AD196" s="29">
        <f>IF(AQ196="7",BH196,0)</f>
        <v>0</v>
      </c>
      <c r="AE196" s="29">
        <f>IF(AQ196="7",BI196,0)</f>
        <v>0</v>
      </c>
      <c r="AF196" s="29">
        <f>IF(AQ196="2",BH196,0)</f>
        <v>0</v>
      </c>
      <c r="AG196" s="29">
        <f>IF(AQ196="2",BI196,0)</f>
        <v>0</v>
      </c>
      <c r="AH196" s="29">
        <f>IF(AQ196="0",BJ196,0)</f>
        <v>0</v>
      </c>
      <c r="AI196" s="11" t="s">
        <v>55</v>
      </c>
      <c r="AJ196" s="29">
        <f>IF(AN196=0,J196,0)</f>
        <v>0</v>
      </c>
      <c r="AK196" s="29">
        <f>IF(AN196=12,J196,0)</f>
        <v>0</v>
      </c>
      <c r="AL196" s="29">
        <f>IF(AN196=21,J196,0)</f>
        <v>0</v>
      </c>
      <c r="AN196" s="29">
        <v>21</v>
      </c>
      <c r="AO196" s="29">
        <f>G196*0</f>
        <v>0</v>
      </c>
      <c r="AP196" s="29">
        <f>G196*(1-0)</f>
        <v>0</v>
      </c>
      <c r="AQ196" s="31" t="s">
        <v>56</v>
      </c>
      <c r="AV196" s="29">
        <f>AW196+AX196</f>
        <v>0</v>
      </c>
      <c r="AW196" s="29">
        <f>F196*AO196</f>
        <v>0</v>
      </c>
      <c r="AX196" s="29">
        <f>F196*AP196</f>
        <v>0</v>
      </c>
      <c r="AY196" s="31" t="s">
        <v>341</v>
      </c>
      <c r="AZ196" s="31" t="s">
        <v>342</v>
      </c>
      <c r="BA196" s="11" t="s">
        <v>63</v>
      </c>
      <c r="BC196" s="29">
        <f>AW196+AX196</f>
        <v>0</v>
      </c>
      <c r="BD196" s="29">
        <f>G196/(100-BE196)*100</f>
        <v>0</v>
      </c>
      <c r="BE196" s="29">
        <v>0</v>
      </c>
      <c r="BF196" s="29">
        <f>196</f>
        <v>196</v>
      </c>
      <c r="BH196" s="29">
        <f>F196*AO196</f>
        <v>0</v>
      </c>
      <c r="BI196" s="29">
        <f>F196*AP196</f>
        <v>0</v>
      </c>
      <c r="BJ196" s="29">
        <f>F196*G196</f>
        <v>0</v>
      </c>
      <c r="BK196" s="29"/>
      <c r="BL196" s="29">
        <v>95</v>
      </c>
      <c r="BW196" s="29">
        <v>21</v>
      </c>
      <c r="BX196" s="5" t="s">
        <v>361</v>
      </c>
    </row>
    <row r="197" spans="1:76" ht="13.5" customHeight="1" x14ac:dyDescent="0.25">
      <c r="A197" s="32"/>
      <c r="C197" s="86" t="s">
        <v>363</v>
      </c>
      <c r="D197" s="87"/>
      <c r="E197" s="87"/>
      <c r="F197" s="87"/>
      <c r="G197" s="87"/>
      <c r="H197" s="87"/>
      <c r="I197" s="87"/>
      <c r="J197" s="87"/>
      <c r="K197" s="88"/>
    </row>
    <row r="198" spans="1:76" x14ac:dyDescent="0.25">
      <c r="A198" s="32"/>
      <c r="C198" s="34" t="s">
        <v>364</v>
      </c>
      <c r="D198" s="34" t="s">
        <v>51</v>
      </c>
      <c r="F198" s="35">
        <v>106</v>
      </c>
      <c r="K198" s="36"/>
    </row>
    <row r="199" spans="1:76" x14ac:dyDescent="0.25">
      <c r="A199" s="32"/>
      <c r="B199" s="37" t="s">
        <v>69</v>
      </c>
      <c r="C199" s="86" t="s">
        <v>365</v>
      </c>
      <c r="D199" s="87"/>
      <c r="E199" s="87"/>
      <c r="F199" s="87"/>
      <c r="G199" s="87"/>
      <c r="H199" s="87"/>
      <c r="I199" s="87"/>
      <c r="J199" s="87"/>
      <c r="K199" s="88"/>
      <c r="BX199" s="33" t="s">
        <v>365</v>
      </c>
    </row>
    <row r="200" spans="1:76" x14ac:dyDescent="0.25">
      <c r="A200" s="2" t="s">
        <v>366</v>
      </c>
      <c r="B200" s="3" t="s">
        <v>367</v>
      </c>
      <c r="C200" s="84" t="s">
        <v>368</v>
      </c>
      <c r="D200" s="85"/>
      <c r="E200" s="3" t="s">
        <v>356</v>
      </c>
      <c r="F200" s="29">
        <v>4</v>
      </c>
      <c r="G200" s="29">
        <v>0</v>
      </c>
      <c r="H200" s="29">
        <f>F200*AO200</f>
        <v>0</v>
      </c>
      <c r="I200" s="29">
        <f>F200*AP200</f>
        <v>0</v>
      </c>
      <c r="J200" s="29">
        <f>F200*G200</f>
        <v>0</v>
      </c>
      <c r="K200" s="30" t="s">
        <v>60</v>
      </c>
      <c r="Z200" s="29">
        <f>IF(AQ200="5",BJ200,0)</f>
        <v>0</v>
      </c>
      <c r="AB200" s="29">
        <f>IF(AQ200="1",BH200,0)</f>
        <v>0</v>
      </c>
      <c r="AC200" s="29">
        <f>IF(AQ200="1",BI200,0)</f>
        <v>0</v>
      </c>
      <c r="AD200" s="29">
        <f>IF(AQ200="7",BH200,0)</f>
        <v>0</v>
      </c>
      <c r="AE200" s="29">
        <f>IF(AQ200="7",BI200,0)</f>
        <v>0</v>
      </c>
      <c r="AF200" s="29">
        <f>IF(AQ200="2",BH200,0)</f>
        <v>0</v>
      </c>
      <c r="AG200" s="29">
        <f>IF(AQ200="2",BI200,0)</f>
        <v>0</v>
      </c>
      <c r="AH200" s="29">
        <f>IF(AQ200="0",BJ200,0)</f>
        <v>0</v>
      </c>
      <c r="AI200" s="11" t="s">
        <v>55</v>
      </c>
      <c r="AJ200" s="29">
        <f>IF(AN200=0,J200,0)</f>
        <v>0</v>
      </c>
      <c r="AK200" s="29">
        <f>IF(AN200=12,J200,0)</f>
        <v>0</v>
      </c>
      <c r="AL200" s="29">
        <f>IF(AN200=21,J200,0)</f>
        <v>0</v>
      </c>
      <c r="AN200" s="29">
        <v>21</v>
      </c>
      <c r="AO200" s="29">
        <f>G200*0</f>
        <v>0</v>
      </c>
      <c r="AP200" s="29">
        <f>G200*(1-0)</f>
        <v>0</v>
      </c>
      <c r="AQ200" s="31" t="s">
        <v>56</v>
      </c>
      <c r="AV200" s="29">
        <f>AW200+AX200</f>
        <v>0</v>
      </c>
      <c r="AW200" s="29">
        <f>F200*AO200</f>
        <v>0</v>
      </c>
      <c r="AX200" s="29">
        <f>F200*AP200</f>
        <v>0</v>
      </c>
      <c r="AY200" s="31" t="s">
        <v>341</v>
      </c>
      <c r="AZ200" s="31" t="s">
        <v>342</v>
      </c>
      <c r="BA200" s="11" t="s">
        <v>63</v>
      </c>
      <c r="BC200" s="29">
        <f>AW200+AX200</f>
        <v>0</v>
      </c>
      <c r="BD200" s="29">
        <f>G200/(100-BE200)*100</f>
        <v>0</v>
      </c>
      <c r="BE200" s="29">
        <v>0</v>
      </c>
      <c r="BF200" s="29">
        <f>200</f>
        <v>200</v>
      </c>
      <c r="BH200" s="29">
        <f>F200*AO200</f>
        <v>0</v>
      </c>
      <c r="BI200" s="29">
        <f>F200*AP200</f>
        <v>0</v>
      </c>
      <c r="BJ200" s="29">
        <f>F200*G200</f>
        <v>0</v>
      </c>
      <c r="BK200" s="29"/>
      <c r="BL200" s="29">
        <v>95</v>
      </c>
      <c r="BW200" s="29">
        <v>21</v>
      </c>
      <c r="BX200" s="5" t="s">
        <v>368</v>
      </c>
    </row>
    <row r="201" spans="1:76" ht="13.5" customHeight="1" x14ac:dyDescent="0.25">
      <c r="A201" s="32"/>
      <c r="C201" s="86" t="s">
        <v>363</v>
      </c>
      <c r="D201" s="87"/>
      <c r="E201" s="87"/>
      <c r="F201" s="87"/>
      <c r="G201" s="87"/>
      <c r="H201" s="87"/>
      <c r="I201" s="87"/>
      <c r="J201" s="87"/>
      <c r="K201" s="88"/>
    </row>
    <row r="202" spans="1:76" x14ac:dyDescent="0.25">
      <c r="A202" s="32"/>
      <c r="C202" s="34" t="s">
        <v>81</v>
      </c>
      <c r="D202" s="34" t="s">
        <v>51</v>
      </c>
      <c r="F202" s="35">
        <v>4</v>
      </c>
      <c r="K202" s="36"/>
    </row>
    <row r="203" spans="1:76" x14ac:dyDescent="0.25">
      <c r="A203" s="32"/>
      <c r="B203" s="37" t="s">
        <v>69</v>
      </c>
      <c r="C203" s="86" t="s">
        <v>369</v>
      </c>
      <c r="D203" s="87"/>
      <c r="E203" s="87"/>
      <c r="F203" s="87"/>
      <c r="G203" s="87"/>
      <c r="H203" s="87"/>
      <c r="I203" s="87"/>
      <c r="J203" s="87"/>
      <c r="K203" s="88"/>
      <c r="BX203" s="33" t="s">
        <v>369</v>
      </c>
    </row>
    <row r="204" spans="1:76" x14ac:dyDescent="0.25">
      <c r="A204" s="2" t="s">
        <v>370</v>
      </c>
      <c r="B204" s="3" t="s">
        <v>371</v>
      </c>
      <c r="C204" s="84" t="s">
        <v>372</v>
      </c>
      <c r="D204" s="85"/>
      <c r="E204" s="3" t="s">
        <v>59</v>
      </c>
      <c r="F204" s="29">
        <v>25.65</v>
      </c>
      <c r="G204" s="29">
        <v>0</v>
      </c>
      <c r="H204" s="29">
        <f>F204*AO204</f>
        <v>0</v>
      </c>
      <c r="I204" s="29">
        <f>F204*AP204</f>
        <v>0</v>
      </c>
      <c r="J204" s="29">
        <f>F204*G204</f>
        <v>0</v>
      </c>
      <c r="K204" s="30" t="s">
        <v>60</v>
      </c>
      <c r="Z204" s="29">
        <f>IF(AQ204="5",BJ204,0)</f>
        <v>0</v>
      </c>
      <c r="AB204" s="29">
        <f>IF(AQ204="1",BH204,0)</f>
        <v>0</v>
      </c>
      <c r="AC204" s="29">
        <f>IF(AQ204="1",BI204,0)</f>
        <v>0</v>
      </c>
      <c r="AD204" s="29">
        <f>IF(AQ204="7",BH204,0)</f>
        <v>0</v>
      </c>
      <c r="AE204" s="29">
        <f>IF(AQ204="7",BI204,0)</f>
        <v>0</v>
      </c>
      <c r="AF204" s="29">
        <f>IF(AQ204="2",BH204,0)</f>
        <v>0</v>
      </c>
      <c r="AG204" s="29">
        <f>IF(AQ204="2",BI204,0)</f>
        <v>0</v>
      </c>
      <c r="AH204" s="29">
        <f>IF(AQ204="0",BJ204,0)</f>
        <v>0</v>
      </c>
      <c r="AI204" s="11" t="s">
        <v>55</v>
      </c>
      <c r="AJ204" s="29">
        <f>IF(AN204=0,J204,0)</f>
        <v>0</v>
      </c>
      <c r="AK204" s="29">
        <f>IF(AN204=12,J204,0)</f>
        <v>0</v>
      </c>
      <c r="AL204" s="29">
        <f>IF(AN204=21,J204,0)</f>
        <v>0</v>
      </c>
      <c r="AN204" s="29">
        <v>21</v>
      </c>
      <c r="AO204" s="29">
        <f>G204*0</f>
        <v>0</v>
      </c>
      <c r="AP204" s="29">
        <f>G204*(1-0)</f>
        <v>0</v>
      </c>
      <c r="AQ204" s="31" t="s">
        <v>56</v>
      </c>
      <c r="AV204" s="29">
        <f>AW204+AX204</f>
        <v>0</v>
      </c>
      <c r="AW204" s="29">
        <f>F204*AO204</f>
        <v>0</v>
      </c>
      <c r="AX204" s="29">
        <f>F204*AP204</f>
        <v>0</v>
      </c>
      <c r="AY204" s="31" t="s">
        <v>341</v>
      </c>
      <c r="AZ204" s="31" t="s">
        <v>342</v>
      </c>
      <c r="BA204" s="11" t="s">
        <v>63</v>
      </c>
      <c r="BC204" s="29">
        <f>AW204+AX204</f>
        <v>0</v>
      </c>
      <c r="BD204" s="29">
        <f>G204/(100-BE204)*100</f>
        <v>0</v>
      </c>
      <c r="BE204" s="29">
        <v>0</v>
      </c>
      <c r="BF204" s="29">
        <f>204</f>
        <v>204</v>
      </c>
      <c r="BH204" s="29">
        <f>F204*AO204</f>
        <v>0</v>
      </c>
      <c r="BI204" s="29">
        <f>F204*AP204</f>
        <v>0</v>
      </c>
      <c r="BJ204" s="29">
        <f>F204*G204</f>
        <v>0</v>
      </c>
      <c r="BK204" s="29"/>
      <c r="BL204" s="29">
        <v>95</v>
      </c>
      <c r="BW204" s="29">
        <v>21</v>
      </c>
      <c r="BX204" s="5" t="s">
        <v>372</v>
      </c>
    </row>
    <row r="205" spans="1:76" x14ac:dyDescent="0.25">
      <c r="A205" s="32"/>
      <c r="C205" s="34" t="s">
        <v>67</v>
      </c>
      <c r="D205" s="34" t="s">
        <v>51</v>
      </c>
      <c r="F205" s="35">
        <v>25.65</v>
      </c>
      <c r="K205" s="36"/>
    </row>
    <row r="206" spans="1:76" ht="25.5" x14ac:dyDescent="0.25">
      <c r="A206" s="32"/>
      <c r="B206" s="37" t="s">
        <v>69</v>
      </c>
      <c r="C206" s="86" t="s">
        <v>373</v>
      </c>
      <c r="D206" s="87"/>
      <c r="E206" s="87"/>
      <c r="F206" s="87"/>
      <c r="G206" s="87"/>
      <c r="H206" s="87"/>
      <c r="I206" s="87"/>
      <c r="J206" s="87"/>
      <c r="K206" s="88"/>
      <c r="BX206" s="33" t="s">
        <v>373</v>
      </c>
    </row>
    <row r="207" spans="1:76" x14ac:dyDescent="0.25">
      <c r="A207" s="2" t="s">
        <v>374</v>
      </c>
      <c r="B207" s="3" t="s">
        <v>375</v>
      </c>
      <c r="C207" s="84" t="s">
        <v>376</v>
      </c>
      <c r="D207" s="85"/>
      <c r="E207" s="3" t="s">
        <v>59</v>
      </c>
      <c r="F207" s="29">
        <v>59.88</v>
      </c>
      <c r="G207" s="29">
        <v>0</v>
      </c>
      <c r="H207" s="29">
        <f>F207*AO207</f>
        <v>0</v>
      </c>
      <c r="I207" s="29">
        <f>F207*AP207</f>
        <v>0</v>
      </c>
      <c r="J207" s="29">
        <f>F207*G207</f>
        <v>0</v>
      </c>
      <c r="K207" s="30" t="s">
        <v>60</v>
      </c>
      <c r="Z207" s="29">
        <f>IF(AQ207="5",BJ207,0)</f>
        <v>0</v>
      </c>
      <c r="AB207" s="29">
        <f>IF(AQ207="1",BH207,0)</f>
        <v>0</v>
      </c>
      <c r="AC207" s="29">
        <f>IF(AQ207="1",BI207,0)</f>
        <v>0</v>
      </c>
      <c r="AD207" s="29">
        <f>IF(AQ207="7",BH207,0)</f>
        <v>0</v>
      </c>
      <c r="AE207" s="29">
        <f>IF(AQ207="7",BI207,0)</f>
        <v>0</v>
      </c>
      <c r="AF207" s="29">
        <f>IF(AQ207="2",BH207,0)</f>
        <v>0</v>
      </c>
      <c r="AG207" s="29">
        <f>IF(AQ207="2",BI207,0)</f>
        <v>0</v>
      </c>
      <c r="AH207" s="29">
        <f>IF(AQ207="0",BJ207,0)</f>
        <v>0</v>
      </c>
      <c r="AI207" s="11" t="s">
        <v>55</v>
      </c>
      <c r="AJ207" s="29">
        <f>IF(AN207=0,J207,0)</f>
        <v>0</v>
      </c>
      <c r="AK207" s="29">
        <f>IF(AN207=12,J207,0)</f>
        <v>0</v>
      </c>
      <c r="AL207" s="29">
        <f>IF(AN207=21,J207,0)</f>
        <v>0</v>
      </c>
      <c r="AN207" s="29">
        <v>21</v>
      </c>
      <c r="AO207" s="29">
        <f>G207*0</f>
        <v>0</v>
      </c>
      <c r="AP207" s="29">
        <f>G207*(1-0)</f>
        <v>0</v>
      </c>
      <c r="AQ207" s="31" t="s">
        <v>56</v>
      </c>
      <c r="AV207" s="29">
        <f>AW207+AX207</f>
        <v>0</v>
      </c>
      <c r="AW207" s="29">
        <f>F207*AO207</f>
        <v>0</v>
      </c>
      <c r="AX207" s="29">
        <f>F207*AP207</f>
        <v>0</v>
      </c>
      <c r="AY207" s="31" t="s">
        <v>341</v>
      </c>
      <c r="AZ207" s="31" t="s">
        <v>342</v>
      </c>
      <c r="BA207" s="11" t="s">
        <v>63</v>
      </c>
      <c r="BC207" s="29">
        <f>AW207+AX207</f>
        <v>0</v>
      </c>
      <c r="BD207" s="29">
        <f>G207/(100-BE207)*100</f>
        <v>0</v>
      </c>
      <c r="BE207" s="29">
        <v>0</v>
      </c>
      <c r="BF207" s="29">
        <f>207</f>
        <v>207</v>
      </c>
      <c r="BH207" s="29">
        <f>F207*AO207</f>
        <v>0</v>
      </c>
      <c r="BI207" s="29">
        <f>F207*AP207</f>
        <v>0</v>
      </c>
      <c r="BJ207" s="29">
        <f>F207*G207</f>
        <v>0</v>
      </c>
      <c r="BK207" s="29"/>
      <c r="BL207" s="29">
        <v>95</v>
      </c>
      <c r="BW207" s="29">
        <v>21</v>
      </c>
      <c r="BX207" s="5" t="s">
        <v>376</v>
      </c>
    </row>
    <row r="208" spans="1:76" x14ac:dyDescent="0.25">
      <c r="A208" s="32"/>
      <c r="C208" s="34" t="s">
        <v>377</v>
      </c>
      <c r="D208" s="34" t="s">
        <v>51</v>
      </c>
      <c r="F208" s="35">
        <v>59.88</v>
      </c>
      <c r="K208" s="36"/>
    </row>
    <row r="209" spans="1:76" ht="25.5" x14ac:dyDescent="0.25">
      <c r="A209" s="32"/>
      <c r="B209" s="37" t="s">
        <v>69</v>
      </c>
      <c r="C209" s="86" t="s">
        <v>378</v>
      </c>
      <c r="D209" s="87"/>
      <c r="E209" s="87"/>
      <c r="F209" s="87"/>
      <c r="G209" s="87"/>
      <c r="H209" s="87"/>
      <c r="I209" s="87"/>
      <c r="J209" s="87"/>
      <c r="K209" s="88"/>
      <c r="BX209" s="33" t="s">
        <v>378</v>
      </c>
    </row>
    <row r="210" spans="1:76" x14ac:dyDescent="0.25">
      <c r="A210" s="25" t="s">
        <v>51</v>
      </c>
      <c r="B210" s="26" t="s">
        <v>379</v>
      </c>
      <c r="C210" s="93" t="s">
        <v>380</v>
      </c>
      <c r="D210" s="94"/>
      <c r="E210" s="27" t="s">
        <v>32</v>
      </c>
      <c r="F210" s="27" t="s">
        <v>32</v>
      </c>
      <c r="G210" s="27" t="s">
        <v>32</v>
      </c>
      <c r="H210" s="1">
        <f>SUM(H211:H211)</f>
        <v>0</v>
      </c>
      <c r="I210" s="1">
        <f>SUM(I211:I211)</f>
        <v>0</v>
      </c>
      <c r="J210" s="1">
        <f>SUM(J211:J211)</f>
        <v>0</v>
      </c>
      <c r="K210" s="28" t="s">
        <v>51</v>
      </c>
      <c r="AI210" s="11" t="s">
        <v>55</v>
      </c>
      <c r="AS210" s="1">
        <f>SUM(AJ211:AJ211)</f>
        <v>0</v>
      </c>
      <c r="AT210" s="1">
        <f>SUM(AK211:AK211)</f>
        <v>0</v>
      </c>
      <c r="AU210" s="1">
        <f>SUM(AL211:AL211)</f>
        <v>0</v>
      </c>
    </row>
    <row r="211" spans="1:76" x14ac:dyDescent="0.25">
      <c r="A211" s="2" t="s">
        <v>381</v>
      </c>
      <c r="B211" s="3" t="s">
        <v>382</v>
      </c>
      <c r="C211" s="84" t="s">
        <v>383</v>
      </c>
      <c r="D211" s="85"/>
      <c r="E211" s="3" t="s">
        <v>160</v>
      </c>
      <c r="F211" s="29">
        <v>19.529800000000002</v>
      </c>
      <c r="G211" s="29">
        <v>0</v>
      </c>
      <c r="H211" s="29">
        <f>F211*AO211</f>
        <v>0</v>
      </c>
      <c r="I211" s="29">
        <f>F211*AP211</f>
        <v>0</v>
      </c>
      <c r="J211" s="29">
        <f>F211*G211</f>
        <v>0</v>
      </c>
      <c r="K211" s="30" t="s">
        <v>60</v>
      </c>
      <c r="Z211" s="29">
        <f>IF(AQ211="5",BJ211,0)</f>
        <v>0</v>
      </c>
      <c r="AB211" s="29">
        <f>IF(AQ211="1",BH211,0)</f>
        <v>0</v>
      </c>
      <c r="AC211" s="29">
        <f>IF(AQ211="1",BI211,0)</f>
        <v>0</v>
      </c>
      <c r="AD211" s="29">
        <f>IF(AQ211="7",BH211,0)</f>
        <v>0</v>
      </c>
      <c r="AE211" s="29">
        <f>IF(AQ211="7",BI211,0)</f>
        <v>0</v>
      </c>
      <c r="AF211" s="29">
        <f>IF(AQ211="2",BH211,0)</f>
        <v>0</v>
      </c>
      <c r="AG211" s="29">
        <f>IF(AQ211="2",BI211,0)</f>
        <v>0</v>
      </c>
      <c r="AH211" s="29">
        <f>IF(AQ211="0",BJ211,0)</f>
        <v>0</v>
      </c>
      <c r="AI211" s="11" t="s">
        <v>55</v>
      </c>
      <c r="AJ211" s="29">
        <f>IF(AN211=0,J211,0)</f>
        <v>0</v>
      </c>
      <c r="AK211" s="29">
        <f>IF(AN211=12,J211,0)</f>
        <v>0</v>
      </c>
      <c r="AL211" s="29">
        <f>IF(AN211=21,J211,0)</f>
        <v>0</v>
      </c>
      <c r="AN211" s="29">
        <v>21</v>
      </c>
      <c r="AO211" s="29">
        <f>G211*0</f>
        <v>0</v>
      </c>
      <c r="AP211" s="29">
        <f>G211*(1-0)</f>
        <v>0</v>
      </c>
      <c r="AQ211" s="31" t="s">
        <v>87</v>
      </c>
      <c r="AV211" s="29">
        <f>AW211+AX211</f>
        <v>0</v>
      </c>
      <c r="AW211" s="29">
        <f>F211*AO211</f>
        <v>0</v>
      </c>
      <c r="AX211" s="29">
        <f>F211*AP211</f>
        <v>0</v>
      </c>
      <c r="AY211" s="31" t="s">
        <v>384</v>
      </c>
      <c r="AZ211" s="31" t="s">
        <v>342</v>
      </c>
      <c r="BA211" s="11" t="s">
        <v>63</v>
      </c>
      <c r="BC211" s="29">
        <f>AW211+AX211</f>
        <v>0</v>
      </c>
      <c r="BD211" s="29">
        <f>G211/(100-BE211)*100</f>
        <v>0</v>
      </c>
      <c r="BE211" s="29">
        <v>0</v>
      </c>
      <c r="BF211" s="29">
        <f>211</f>
        <v>211</v>
      </c>
      <c r="BH211" s="29">
        <f>F211*AO211</f>
        <v>0</v>
      </c>
      <c r="BI211" s="29">
        <f>F211*AP211</f>
        <v>0</v>
      </c>
      <c r="BJ211" s="29">
        <f>F211*G211</f>
        <v>0</v>
      </c>
      <c r="BK211" s="29"/>
      <c r="BL211" s="29"/>
      <c r="BW211" s="29">
        <v>21</v>
      </c>
      <c r="BX211" s="5" t="s">
        <v>383</v>
      </c>
    </row>
    <row r="212" spans="1:76" x14ac:dyDescent="0.25">
      <c r="A212" s="32"/>
      <c r="C212" s="34" t="s">
        <v>385</v>
      </c>
      <c r="D212" s="34" t="s">
        <v>51</v>
      </c>
      <c r="F212" s="35">
        <v>19.529800000000002</v>
      </c>
      <c r="K212" s="36"/>
    </row>
    <row r="213" spans="1:76" x14ac:dyDescent="0.25">
      <c r="A213" s="25" t="s">
        <v>51</v>
      </c>
      <c r="B213" s="26" t="s">
        <v>386</v>
      </c>
      <c r="C213" s="93" t="s">
        <v>387</v>
      </c>
      <c r="D213" s="94"/>
      <c r="E213" s="27" t="s">
        <v>32</v>
      </c>
      <c r="F213" s="27" t="s">
        <v>32</v>
      </c>
      <c r="G213" s="27" t="s">
        <v>32</v>
      </c>
      <c r="H213" s="1">
        <f>SUM(H214:H234)</f>
        <v>0</v>
      </c>
      <c r="I213" s="1">
        <f>SUM(I214:I234)</f>
        <v>0</v>
      </c>
      <c r="J213" s="1">
        <f>SUM(J214:J234)</f>
        <v>0</v>
      </c>
      <c r="K213" s="28" t="s">
        <v>51</v>
      </c>
      <c r="AI213" s="11" t="s">
        <v>55</v>
      </c>
      <c r="AS213" s="1">
        <f>SUM(AJ214:AJ234)</f>
        <v>0</v>
      </c>
      <c r="AT213" s="1">
        <f>SUM(AK214:AK234)</f>
        <v>0</v>
      </c>
      <c r="AU213" s="1">
        <f>SUM(AL214:AL234)</f>
        <v>0</v>
      </c>
    </row>
    <row r="214" spans="1:76" x14ac:dyDescent="0.25">
      <c r="A214" s="2" t="s">
        <v>388</v>
      </c>
      <c r="B214" s="3" t="s">
        <v>389</v>
      </c>
      <c r="C214" s="84" t="s">
        <v>390</v>
      </c>
      <c r="D214" s="85"/>
      <c r="E214" s="3" t="s">
        <v>160</v>
      </c>
      <c r="F214" s="29">
        <v>17.20729</v>
      </c>
      <c r="G214" s="29">
        <v>0</v>
      </c>
      <c r="H214" s="29">
        <f>F214*AO214</f>
        <v>0</v>
      </c>
      <c r="I214" s="29">
        <f>F214*AP214</f>
        <v>0</v>
      </c>
      <c r="J214" s="29">
        <f>F214*G214</f>
        <v>0</v>
      </c>
      <c r="K214" s="30" t="s">
        <v>60</v>
      </c>
      <c r="Z214" s="29">
        <f>IF(AQ214="5",BJ214,0)</f>
        <v>0</v>
      </c>
      <c r="AB214" s="29">
        <f>IF(AQ214="1",BH214,0)</f>
        <v>0</v>
      </c>
      <c r="AC214" s="29">
        <f>IF(AQ214="1",BI214,0)</f>
        <v>0</v>
      </c>
      <c r="AD214" s="29">
        <f>IF(AQ214="7",BH214,0)</f>
        <v>0</v>
      </c>
      <c r="AE214" s="29">
        <f>IF(AQ214="7",BI214,0)</f>
        <v>0</v>
      </c>
      <c r="AF214" s="29">
        <f>IF(AQ214="2",BH214,0)</f>
        <v>0</v>
      </c>
      <c r="AG214" s="29">
        <f>IF(AQ214="2",BI214,0)</f>
        <v>0</v>
      </c>
      <c r="AH214" s="29">
        <f>IF(AQ214="0",BJ214,0)</f>
        <v>0</v>
      </c>
      <c r="AI214" s="11" t="s">
        <v>55</v>
      </c>
      <c r="AJ214" s="29">
        <f>IF(AN214=0,J214,0)</f>
        <v>0</v>
      </c>
      <c r="AK214" s="29">
        <f>IF(AN214=12,J214,0)</f>
        <v>0</v>
      </c>
      <c r="AL214" s="29">
        <f>IF(AN214=21,J214,0)</f>
        <v>0</v>
      </c>
      <c r="AN214" s="29">
        <v>21</v>
      </c>
      <c r="AO214" s="29">
        <f>G214*0</f>
        <v>0</v>
      </c>
      <c r="AP214" s="29">
        <f>G214*(1-0)</f>
        <v>0</v>
      </c>
      <c r="AQ214" s="31" t="s">
        <v>87</v>
      </c>
      <c r="AV214" s="29">
        <f>AW214+AX214</f>
        <v>0</v>
      </c>
      <c r="AW214" s="29">
        <f>F214*AO214</f>
        <v>0</v>
      </c>
      <c r="AX214" s="29">
        <f>F214*AP214</f>
        <v>0</v>
      </c>
      <c r="AY214" s="31" t="s">
        <v>391</v>
      </c>
      <c r="AZ214" s="31" t="s">
        <v>342</v>
      </c>
      <c r="BA214" s="11" t="s">
        <v>63</v>
      </c>
      <c r="BC214" s="29">
        <f>AW214+AX214</f>
        <v>0</v>
      </c>
      <c r="BD214" s="29">
        <f>G214/(100-BE214)*100</f>
        <v>0</v>
      </c>
      <c r="BE214" s="29">
        <v>0</v>
      </c>
      <c r="BF214" s="29">
        <f>214</f>
        <v>214</v>
      </c>
      <c r="BH214" s="29">
        <f>F214*AO214</f>
        <v>0</v>
      </c>
      <c r="BI214" s="29">
        <f>F214*AP214</f>
        <v>0</v>
      </c>
      <c r="BJ214" s="29">
        <f>F214*G214</f>
        <v>0</v>
      </c>
      <c r="BK214" s="29"/>
      <c r="BL214" s="29"/>
      <c r="BW214" s="29">
        <v>21</v>
      </c>
      <c r="BX214" s="5" t="s">
        <v>390</v>
      </c>
    </row>
    <row r="215" spans="1:76" x14ac:dyDescent="0.25">
      <c r="A215" s="32"/>
      <c r="C215" s="34" t="s">
        <v>392</v>
      </c>
      <c r="D215" s="34" t="s">
        <v>51</v>
      </c>
      <c r="F215" s="35">
        <v>17.20729</v>
      </c>
      <c r="K215" s="36"/>
    </row>
    <row r="216" spans="1:76" x14ac:dyDescent="0.25">
      <c r="A216" s="2" t="s">
        <v>393</v>
      </c>
      <c r="B216" s="3" t="s">
        <v>394</v>
      </c>
      <c r="C216" s="84" t="s">
        <v>395</v>
      </c>
      <c r="D216" s="85"/>
      <c r="E216" s="3" t="s">
        <v>160</v>
      </c>
      <c r="F216" s="29">
        <v>172.0729</v>
      </c>
      <c r="G216" s="29">
        <v>0</v>
      </c>
      <c r="H216" s="29">
        <f>F216*AO216</f>
        <v>0</v>
      </c>
      <c r="I216" s="29">
        <f>F216*AP216</f>
        <v>0</v>
      </c>
      <c r="J216" s="29">
        <f>F216*G216</f>
        <v>0</v>
      </c>
      <c r="K216" s="30" t="s">
        <v>60</v>
      </c>
      <c r="Z216" s="29">
        <f>IF(AQ216="5",BJ216,0)</f>
        <v>0</v>
      </c>
      <c r="AB216" s="29">
        <f>IF(AQ216="1",BH216,0)</f>
        <v>0</v>
      </c>
      <c r="AC216" s="29">
        <f>IF(AQ216="1",BI216,0)</f>
        <v>0</v>
      </c>
      <c r="AD216" s="29">
        <f>IF(AQ216="7",BH216,0)</f>
        <v>0</v>
      </c>
      <c r="AE216" s="29">
        <f>IF(AQ216="7",BI216,0)</f>
        <v>0</v>
      </c>
      <c r="AF216" s="29">
        <f>IF(AQ216="2",BH216,0)</f>
        <v>0</v>
      </c>
      <c r="AG216" s="29">
        <f>IF(AQ216="2",BI216,0)</f>
        <v>0</v>
      </c>
      <c r="AH216" s="29">
        <f>IF(AQ216="0",BJ216,0)</f>
        <v>0</v>
      </c>
      <c r="AI216" s="11" t="s">
        <v>55</v>
      </c>
      <c r="AJ216" s="29">
        <f>IF(AN216=0,J216,0)</f>
        <v>0</v>
      </c>
      <c r="AK216" s="29">
        <f>IF(AN216=12,J216,0)</f>
        <v>0</v>
      </c>
      <c r="AL216" s="29">
        <f>IF(AN216=21,J216,0)</f>
        <v>0</v>
      </c>
      <c r="AN216" s="29">
        <v>21</v>
      </c>
      <c r="AO216" s="29">
        <f>G216*0</f>
        <v>0</v>
      </c>
      <c r="AP216" s="29">
        <f>G216*(1-0)</f>
        <v>0</v>
      </c>
      <c r="AQ216" s="31" t="s">
        <v>87</v>
      </c>
      <c r="AV216" s="29">
        <f>AW216+AX216</f>
        <v>0</v>
      </c>
      <c r="AW216" s="29">
        <f>F216*AO216</f>
        <v>0</v>
      </c>
      <c r="AX216" s="29">
        <f>F216*AP216</f>
        <v>0</v>
      </c>
      <c r="AY216" s="31" t="s">
        <v>391</v>
      </c>
      <c r="AZ216" s="31" t="s">
        <v>342</v>
      </c>
      <c r="BA216" s="11" t="s">
        <v>63</v>
      </c>
      <c r="BC216" s="29">
        <f>AW216+AX216</f>
        <v>0</v>
      </c>
      <c r="BD216" s="29">
        <f>G216/(100-BE216)*100</f>
        <v>0</v>
      </c>
      <c r="BE216" s="29">
        <v>0</v>
      </c>
      <c r="BF216" s="29">
        <f>216</f>
        <v>216</v>
      </c>
      <c r="BH216" s="29">
        <f>F216*AO216</f>
        <v>0</v>
      </c>
      <c r="BI216" s="29">
        <f>F216*AP216</f>
        <v>0</v>
      </c>
      <c r="BJ216" s="29">
        <f>F216*G216</f>
        <v>0</v>
      </c>
      <c r="BK216" s="29"/>
      <c r="BL216" s="29"/>
      <c r="BW216" s="29">
        <v>21</v>
      </c>
      <c r="BX216" s="5" t="s">
        <v>395</v>
      </c>
    </row>
    <row r="217" spans="1:76" x14ac:dyDescent="0.25">
      <c r="A217" s="32"/>
      <c r="C217" s="34" t="s">
        <v>396</v>
      </c>
      <c r="D217" s="34" t="s">
        <v>51</v>
      </c>
      <c r="F217" s="35">
        <v>172.0729</v>
      </c>
      <c r="K217" s="36"/>
    </row>
    <row r="218" spans="1:76" x14ac:dyDescent="0.25">
      <c r="A218" s="2" t="s">
        <v>397</v>
      </c>
      <c r="B218" s="3" t="s">
        <v>398</v>
      </c>
      <c r="C218" s="84" t="s">
        <v>399</v>
      </c>
      <c r="D218" s="85"/>
      <c r="E218" s="3" t="s">
        <v>160</v>
      </c>
      <c r="F218" s="29">
        <v>17.20729</v>
      </c>
      <c r="G218" s="29">
        <v>0</v>
      </c>
      <c r="H218" s="29">
        <f>F218*AO218</f>
        <v>0</v>
      </c>
      <c r="I218" s="29">
        <f>F218*AP218</f>
        <v>0</v>
      </c>
      <c r="J218" s="29">
        <f>F218*G218</f>
        <v>0</v>
      </c>
      <c r="K218" s="30" t="s">
        <v>60</v>
      </c>
      <c r="Z218" s="29">
        <f>IF(AQ218="5",BJ218,0)</f>
        <v>0</v>
      </c>
      <c r="AB218" s="29">
        <f>IF(AQ218="1",BH218,0)</f>
        <v>0</v>
      </c>
      <c r="AC218" s="29">
        <f>IF(AQ218="1",BI218,0)</f>
        <v>0</v>
      </c>
      <c r="AD218" s="29">
        <f>IF(AQ218="7",BH218,0)</f>
        <v>0</v>
      </c>
      <c r="AE218" s="29">
        <f>IF(AQ218="7",BI218,0)</f>
        <v>0</v>
      </c>
      <c r="AF218" s="29">
        <f>IF(AQ218="2",BH218,0)</f>
        <v>0</v>
      </c>
      <c r="AG218" s="29">
        <f>IF(AQ218="2",BI218,0)</f>
        <v>0</v>
      </c>
      <c r="AH218" s="29">
        <f>IF(AQ218="0",BJ218,0)</f>
        <v>0</v>
      </c>
      <c r="AI218" s="11" t="s">
        <v>55</v>
      </c>
      <c r="AJ218" s="29">
        <f>IF(AN218=0,J218,0)</f>
        <v>0</v>
      </c>
      <c r="AK218" s="29">
        <f>IF(AN218=12,J218,0)</f>
        <v>0</v>
      </c>
      <c r="AL218" s="29">
        <f>IF(AN218=21,J218,0)</f>
        <v>0</v>
      </c>
      <c r="AN218" s="29">
        <v>21</v>
      </c>
      <c r="AO218" s="29">
        <f>G218*0</f>
        <v>0</v>
      </c>
      <c r="AP218" s="29">
        <f>G218*(1-0)</f>
        <v>0</v>
      </c>
      <c r="AQ218" s="31" t="s">
        <v>87</v>
      </c>
      <c r="AV218" s="29">
        <f>AW218+AX218</f>
        <v>0</v>
      </c>
      <c r="AW218" s="29">
        <f>F218*AO218</f>
        <v>0</v>
      </c>
      <c r="AX218" s="29">
        <f>F218*AP218</f>
        <v>0</v>
      </c>
      <c r="AY218" s="31" t="s">
        <v>391</v>
      </c>
      <c r="AZ218" s="31" t="s">
        <v>342</v>
      </c>
      <c r="BA218" s="11" t="s">
        <v>63</v>
      </c>
      <c r="BC218" s="29">
        <f>AW218+AX218</f>
        <v>0</v>
      </c>
      <c r="BD218" s="29">
        <f>G218/(100-BE218)*100</f>
        <v>0</v>
      </c>
      <c r="BE218" s="29">
        <v>0</v>
      </c>
      <c r="BF218" s="29">
        <f>218</f>
        <v>218</v>
      </c>
      <c r="BH218" s="29">
        <f>F218*AO218</f>
        <v>0</v>
      </c>
      <c r="BI218" s="29">
        <f>F218*AP218</f>
        <v>0</v>
      </c>
      <c r="BJ218" s="29">
        <f>F218*G218</f>
        <v>0</v>
      </c>
      <c r="BK218" s="29"/>
      <c r="BL218" s="29"/>
      <c r="BW218" s="29">
        <v>21</v>
      </c>
      <c r="BX218" s="5" t="s">
        <v>399</v>
      </c>
    </row>
    <row r="219" spans="1:76" x14ac:dyDescent="0.25">
      <c r="A219" s="32"/>
      <c r="C219" s="34" t="s">
        <v>392</v>
      </c>
      <c r="D219" s="34" t="s">
        <v>51</v>
      </c>
      <c r="F219" s="35">
        <v>17.20729</v>
      </c>
      <c r="K219" s="36"/>
    </row>
    <row r="220" spans="1:76" x14ac:dyDescent="0.25">
      <c r="A220" s="32"/>
      <c r="B220" s="37" t="s">
        <v>69</v>
      </c>
      <c r="C220" s="86" t="s">
        <v>400</v>
      </c>
      <c r="D220" s="87"/>
      <c r="E220" s="87"/>
      <c r="F220" s="87"/>
      <c r="G220" s="87"/>
      <c r="H220" s="87"/>
      <c r="I220" s="87"/>
      <c r="J220" s="87"/>
      <c r="K220" s="88"/>
      <c r="BX220" s="33" t="s">
        <v>400</v>
      </c>
    </row>
    <row r="221" spans="1:76" x14ac:dyDescent="0.25">
      <c r="A221" s="2" t="s">
        <v>401</v>
      </c>
      <c r="B221" s="3" t="s">
        <v>402</v>
      </c>
      <c r="C221" s="84" t="s">
        <v>403</v>
      </c>
      <c r="D221" s="85"/>
      <c r="E221" s="3" t="s">
        <v>160</v>
      </c>
      <c r="F221" s="29">
        <v>17.20729</v>
      </c>
      <c r="G221" s="29">
        <v>0</v>
      </c>
      <c r="H221" s="29">
        <f>F221*AO221</f>
        <v>0</v>
      </c>
      <c r="I221" s="29">
        <f>F221*AP221</f>
        <v>0</v>
      </c>
      <c r="J221" s="29">
        <f>F221*G221</f>
        <v>0</v>
      </c>
      <c r="K221" s="30" t="s">
        <v>60</v>
      </c>
      <c r="Z221" s="29">
        <f>IF(AQ221="5",BJ221,0)</f>
        <v>0</v>
      </c>
      <c r="AB221" s="29">
        <f>IF(AQ221="1",BH221,0)</f>
        <v>0</v>
      </c>
      <c r="AC221" s="29">
        <f>IF(AQ221="1",BI221,0)</f>
        <v>0</v>
      </c>
      <c r="AD221" s="29">
        <f>IF(AQ221="7",BH221,0)</f>
        <v>0</v>
      </c>
      <c r="AE221" s="29">
        <f>IF(AQ221="7",BI221,0)</f>
        <v>0</v>
      </c>
      <c r="AF221" s="29">
        <f>IF(AQ221="2",BH221,0)</f>
        <v>0</v>
      </c>
      <c r="AG221" s="29">
        <f>IF(AQ221="2",BI221,0)</f>
        <v>0</v>
      </c>
      <c r="AH221" s="29">
        <f>IF(AQ221="0",BJ221,0)</f>
        <v>0</v>
      </c>
      <c r="AI221" s="11" t="s">
        <v>55</v>
      </c>
      <c r="AJ221" s="29">
        <f>IF(AN221=0,J221,0)</f>
        <v>0</v>
      </c>
      <c r="AK221" s="29">
        <f>IF(AN221=12,J221,0)</f>
        <v>0</v>
      </c>
      <c r="AL221" s="29">
        <f>IF(AN221=21,J221,0)</f>
        <v>0</v>
      </c>
      <c r="AN221" s="29">
        <v>21</v>
      </c>
      <c r="AO221" s="29">
        <f>G221*0</f>
        <v>0</v>
      </c>
      <c r="AP221" s="29">
        <f>G221*(1-0)</f>
        <v>0</v>
      </c>
      <c r="AQ221" s="31" t="s">
        <v>87</v>
      </c>
      <c r="AV221" s="29">
        <f>AW221+AX221</f>
        <v>0</v>
      </c>
      <c r="AW221" s="29">
        <f>F221*AO221</f>
        <v>0</v>
      </c>
      <c r="AX221" s="29">
        <f>F221*AP221</f>
        <v>0</v>
      </c>
      <c r="AY221" s="31" t="s">
        <v>391</v>
      </c>
      <c r="AZ221" s="31" t="s">
        <v>342</v>
      </c>
      <c r="BA221" s="11" t="s">
        <v>63</v>
      </c>
      <c r="BC221" s="29">
        <f>AW221+AX221</f>
        <v>0</v>
      </c>
      <c r="BD221" s="29">
        <f>G221/(100-BE221)*100</f>
        <v>0</v>
      </c>
      <c r="BE221" s="29">
        <v>0</v>
      </c>
      <c r="BF221" s="29">
        <f>221</f>
        <v>221</v>
      </c>
      <c r="BH221" s="29">
        <f>F221*AO221</f>
        <v>0</v>
      </c>
      <c r="BI221" s="29">
        <f>F221*AP221</f>
        <v>0</v>
      </c>
      <c r="BJ221" s="29">
        <f>F221*G221</f>
        <v>0</v>
      </c>
      <c r="BK221" s="29"/>
      <c r="BL221" s="29"/>
      <c r="BW221" s="29">
        <v>21</v>
      </c>
      <c r="BX221" s="5" t="s">
        <v>403</v>
      </c>
    </row>
    <row r="222" spans="1:76" x14ac:dyDescent="0.25">
      <c r="A222" s="32"/>
      <c r="C222" s="34" t="s">
        <v>392</v>
      </c>
      <c r="D222" s="34" t="s">
        <v>51</v>
      </c>
      <c r="F222" s="35">
        <v>17.20729</v>
      </c>
      <c r="K222" s="36"/>
    </row>
    <row r="223" spans="1:76" x14ac:dyDescent="0.25">
      <c r="A223" s="32"/>
      <c r="B223" s="37" t="s">
        <v>69</v>
      </c>
      <c r="C223" s="86" t="s">
        <v>404</v>
      </c>
      <c r="D223" s="87"/>
      <c r="E223" s="87"/>
      <c r="F223" s="87"/>
      <c r="G223" s="87"/>
      <c r="H223" s="87"/>
      <c r="I223" s="87"/>
      <c r="J223" s="87"/>
      <c r="K223" s="88"/>
      <c r="BX223" s="33" t="s">
        <v>404</v>
      </c>
    </row>
    <row r="224" spans="1:76" x14ac:dyDescent="0.25">
      <c r="A224" s="2" t="s">
        <v>405</v>
      </c>
      <c r="B224" s="3" t="s">
        <v>406</v>
      </c>
      <c r="C224" s="84" t="s">
        <v>407</v>
      </c>
      <c r="D224" s="85"/>
      <c r="E224" s="3" t="s">
        <v>160</v>
      </c>
      <c r="F224" s="29">
        <v>8.60365</v>
      </c>
      <c r="G224" s="29">
        <v>0</v>
      </c>
      <c r="H224" s="29">
        <f>F224*AO224</f>
        <v>0</v>
      </c>
      <c r="I224" s="29">
        <f>F224*AP224</f>
        <v>0</v>
      </c>
      <c r="J224" s="29">
        <f>F224*G224</f>
        <v>0</v>
      </c>
      <c r="K224" s="30" t="s">
        <v>60</v>
      </c>
      <c r="Z224" s="29">
        <f>IF(AQ224="5",BJ224,0)</f>
        <v>0</v>
      </c>
      <c r="AB224" s="29">
        <f>IF(AQ224="1",BH224,0)</f>
        <v>0</v>
      </c>
      <c r="AC224" s="29">
        <f>IF(AQ224="1",BI224,0)</f>
        <v>0</v>
      </c>
      <c r="AD224" s="29">
        <f>IF(AQ224="7",BH224,0)</f>
        <v>0</v>
      </c>
      <c r="AE224" s="29">
        <f>IF(AQ224="7",BI224,0)</f>
        <v>0</v>
      </c>
      <c r="AF224" s="29">
        <f>IF(AQ224="2",BH224,0)</f>
        <v>0</v>
      </c>
      <c r="AG224" s="29">
        <f>IF(AQ224="2",BI224,0)</f>
        <v>0</v>
      </c>
      <c r="AH224" s="29">
        <f>IF(AQ224="0",BJ224,0)</f>
        <v>0</v>
      </c>
      <c r="AI224" s="11" t="s">
        <v>55</v>
      </c>
      <c r="AJ224" s="29">
        <f>IF(AN224=0,J224,0)</f>
        <v>0</v>
      </c>
      <c r="AK224" s="29">
        <f>IF(AN224=12,J224,0)</f>
        <v>0</v>
      </c>
      <c r="AL224" s="29">
        <f>IF(AN224=21,J224,0)</f>
        <v>0</v>
      </c>
      <c r="AN224" s="29">
        <v>21</v>
      </c>
      <c r="AO224" s="29">
        <f>G224*0</f>
        <v>0</v>
      </c>
      <c r="AP224" s="29">
        <f>G224*(1-0)</f>
        <v>0</v>
      </c>
      <c r="AQ224" s="31" t="s">
        <v>87</v>
      </c>
      <c r="AV224" s="29">
        <f>AW224+AX224</f>
        <v>0</v>
      </c>
      <c r="AW224" s="29">
        <f>F224*AO224</f>
        <v>0</v>
      </c>
      <c r="AX224" s="29">
        <f>F224*AP224</f>
        <v>0</v>
      </c>
      <c r="AY224" s="31" t="s">
        <v>391</v>
      </c>
      <c r="AZ224" s="31" t="s">
        <v>342</v>
      </c>
      <c r="BA224" s="11" t="s">
        <v>63</v>
      </c>
      <c r="BC224" s="29">
        <f>AW224+AX224</f>
        <v>0</v>
      </c>
      <c r="BD224" s="29">
        <f>G224/(100-BE224)*100</f>
        <v>0</v>
      </c>
      <c r="BE224" s="29">
        <v>0</v>
      </c>
      <c r="BF224" s="29">
        <f>224</f>
        <v>224</v>
      </c>
      <c r="BH224" s="29">
        <f>F224*AO224</f>
        <v>0</v>
      </c>
      <c r="BI224" s="29">
        <f>F224*AP224</f>
        <v>0</v>
      </c>
      <c r="BJ224" s="29">
        <f>F224*G224</f>
        <v>0</v>
      </c>
      <c r="BK224" s="29"/>
      <c r="BL224" s="29"/>
      <c r="BW224" s="29">
        <v>21</v>
      </c>
      <c r="BX224" s="5" t="s">
        <v>407</v>
      </c>
    </row>
    <row r="225" spans="1:76" x14ac:dyDescent="0.25">
      <c r="A225" s="32"/>
      <c r="C225" s="34" t="s">
        <v>408</v>
      </c>
      <c r="D225" s="34" t="s">
        <v>51</v>
      </c>
      <c r="F225" s="35">
        <v>8.60365</v>
      </c>
      <c r="K225" s="36"/>
    </row>
    <row r="226" spans="1:76" ht="25.5" x14ac:dyDescent="0.25">
      <c r="A226" s="32"/>
      <c r="B226" s="37" t="s">
        <v>69</v>
      </c>
      <c r="C226" s="86" t="s">
        <v>409</v>
      </c>
      <c r="D226" s="87"/>
      <c r="E226" s="87"/>
      <c r="F226" s="87"/>
      <c r="G226" s="87"/>
      <c r="H226" s="87"/>
      <c r="I226" s="87"/>
      <c r="J226" s="87"/>
      <c r="K226" s="88"/>
      <c r="BX226" s="33" t="s">
        <v>409</v>
      </c>
    </row>
    <row r="227" spans="1:76" x14ac:dyDescent="0.25">
      <c r="A227" s="2" t="s">
        <v>410</v>
      </c>
      <c r="B227" s="3" t="s">
        <v>411</v>
      </c>
      <c r="C227" s="84" t="s">
        <v>412</v>
      </c>
      <c r="D227" s="85"/>
      <c r="E227" s="3" t="s">
        <v>160</v>
      </c>
      <c r="F227" s="29">
        <v>17.20729</v>
      </c>
      <c r="G227" s="29">
        <v>0</v>
      </c>
      <c r="H227" s="29">
        <f>F227*AO227</f>
        <v>0</v>
      </c>
      <c r="I227" s="29">
        <f>F227*AP227</f>
        <v>0</v>
      </c>
      <c r="J227" s="29">
        <f>F227*G227</f>
        <v>0</v>
      </c>
      <c r="K227" s="30" t="s">
        <v>60</v>
      </c>
      <c r="Z227" s="29">
        <f>IF(AQ227="5",BJ227,0)</f>
        <v>0</v>
      </c>
      <c r="AB227" s="29">
        <f>IF(AQ227="1",BH227,0)</f>
        <v>0</v>
      </c>
      <c r="AC227" s="29">
        <f>IF(AQ227="1",BI227,0)</f>
        <v>0</v>
      </c>
      <c r="AD227" s="29">
        <f>IF(AQ227="7",BH227,0)</f>
        <v>0</v>
      </c>
      <c r="AE227" s="29">
        <f>IF(AQ227="7",BI227,0)</f>
        <v>0</v>
      </c>
      <c r="AF227" s="29">
        <f>IF(AQ227="2",BH227,0)</f>
        <v>0</v>
      </c>
      <c r="AG227" s="29">
        <f>IF(AQ227="2",BI227,0)</f>
        <v>0</v>
      </c>
      <c r="AH227" s="29">
        <f>IF(AQ227="0",BJ227,0)</f>
        <v>0</v>
      </c>
      <c r="AI227" s="11" t="s">
        <v>55</v>
      </c>
      <c r="AJ227" s="29">
        <f>IF(AN227=0,J227,0)</f>
        <v>0</v>
      </c>
      <c r="AK227" s="29">
        <f>IF(AN227=12,J227,0)</f>
        <v>0</v>
      </c>
      <c r="AL227" s="29">
        <f>IF(AN227=21,J227,0)</f>
        <v>0</v>
      </c>
      <c r="AN227" s="29">
        <v>21</v>
      </c>
      <c r="AO227" s="29">
        <f>G227*0</f>
        <v>0</v>
      </c>
      <c r="AP227" s="29">
        <f>G227*(1-0)</f>
        <v>0</v>
      </c>
      <c r="AQ227" s="31" t="s">
        <v>87</v>
      </c>
      <c r="AV227" s="29">
        <f>AW227+AX227</f>
        <v>0</v>
      </c>
      <c r="AW227" s="29">
        <f>F227*AO227</f>
        <v>0</v>
      </c>
      <c r="AX227" s="29">
        <f>F227*AP227</f>
        <v>0</v>
      </c>
      <c r="AY227" s="31" t="s">
        <v>391</v>
      </c>
      <c r="AZ227" s="31" t="s">
        <v>342</v>
      </c>
      <c r="BA227" s="11" t="s">
        <v>63</v>
      </c>
      <c r="BC227" s="29">
        <f>AW227+AX227</f>
        <v>0</v>
      </c>
      <c r="BD227" s="29">
        <f>G227/(100-BE227)*100</f>
        <v>0</v>
      </c>
      <c r="BE227" s="29">
        <v>0</v>
      </c>
      <c r="BF227" s="29">
        <f>227</f>
        <v>227</v>
      </c>
      <c r="BH227" s="29">
        <f>F227*AO227</f>
        <v>0</v>
      </c>
      <c r="BI227" s="29">
        <f>F227*AP227</f>
        <v>0</v>
      </c>
      <c r="BJ227" s="29">
        <f>F227*G227</f>
        <v>0</v>
      </c>
      <c r="BK227" s="29"/>
      <c r="BL227" s="29"/>
      <c r="BW227" s="29">
        <v>21</v>
      </c>
      <c r="BX227" s="5" t="s">
        <v>412</v>
      </c>
    </row>
    <row r="228" spans="1:76" x14ac:dyDescent="0.25">
      <c r="A228" s="32"/>
      <c r="C228" s="34" t="s">
        <v>392</v>
      </c>
      <c r="D228" s="34" t="s">
        <v>51</v>
      </c>
      <c r="F228" s="35">
        <v>17.20729</v>
      </c>
      <c r="K228" s="36"/>
    </row>
    <row r="229" spans="1:76" x14ac:dyDescent="0.25">
      <c r="A229" s="2" t="s">
        <v>413</v>
      </c>
      <c r="B229" s="3" t="s">
        <v>414</v>
      </c>
      <c r="C229" s="84" t="s">
        <v>415</v>
      </c>
      <c r="D229" s="85"/>
      <c r="E229" s="3" t="s">
        <v>160</v>
      </c>
      <c r="F229" s="29">
        <v>51.621870000000001</v>
      </c>
      <c r="G229" s="29">
        <v>0</v>
      </c>
      <c r="H229" s="29">
        <f>F229*AO229</f>
        <v>0</v>
      </c>
      <c r="I229" s="29">
        <f>F229*AP229</f>
        <v>0</v>
      </c>
      <c r="J229" s="29">
        <f>F229*G229</f>
        <v>0</v>
      </c>
      <c r="K229" s="30" t="s">
        <v>60</v>
      </c>
      <c r="Z229" s="29">
        <f>IF(AQ229="5",BJ229,0)</f>
        <v>0</v>
      </c>
      <c r="AB229" s="29">
        <f>IF(AQ229="1",BH229,0)</f>
        <v>0</v>
      </c>
      <c r="AC229" s="29">
        <f>IF(AQ229="1",BI229,0)</f>
        <v>0</v>
      </c>
      <c r="AD229" s="29">
        <f>IF(AQ229="7",BH229,0)</f>
        <v>0</v>
      </c>
      <c r="AE229" s="29">
        <f>IF(AQ229="7",BI229,0)</f>
        <v>0</v>
      </c>
      <c r="AF229" s="29">
        <f>IF(AQ229="2",BH229,0)</f>
        <v>0</v>
      </c>
      <c r="AG229" s="29">
        <f>IF(AQ229="2",BI229,0)</f>
        <v>0</v>
      </c>
      <c r="AH229" s="29">
        <f>IF(AQ229="0",BJ229,0)</f>
        <v>0</v>
      </c>
      <c r="AI229" s="11" t="s">
        <v>55</v>
      </c>
      <c r="AJ229" s="29">
        <f>IF(AN229=0,J229,0)</f>
        <v>0</v>
      </c>
      <c r="AK229" s="29">
        <f>IF(AN229=12,J229,0)</f>
        <v>0</v>
      </c>
      <c r="AL229" s="29">
        <f>IF(AN229=21,J229,0)</f>
        <v>0</v>
      </c>
      <c r="AN229" s="29">
        <v>21</v>
      </c>
      <c r="AO229" s="29">
        <f>G229*0</f>
        <v>0</v>
      </c>
      <c r="AP229" s="29">
        <f>G229*(1-0)</f>
        <v>0</v>
      </c>
      <c r="AQ229" s="31" t="s">
        <v>87</v>
      </c>
      <c r="AV229" s="29">
        <f>AW229+AX229</f>
        <v>0</v>
      </c>
      <c r="AW229" s="29">
        <f>F229*AO229</f>
        <v>0</v>
      </c>
      <c r="AX229" s="29">
        <f>F229*AP229</f>
        <v>0</v>
      </c>
      <c r="AY229" s="31" t="s">
        <v>391</v>
      </c>
      <c r="AZ229" s="31" t="s">
        <v>342</v>
      </c>
      <c r="BA229" s="11" t="s">
        <v>63</v>
      </c>
      <c r="BC229" s="29">
        <f>AW229+AX229</f>
        <v>0</v>
      </c>
      <c r="BD229" s="29">
        <f>G229/(100-BE229)*100</f>
        <v>0</v>
      </c>
      <c r="BE229" s="29">
        <v>0</v>
      </c>
      <c r="BF229" s="29">
        <f>229</f>
        <v>229</v>
      </c>
      <c r="BH229" s="29">
        <f>F229*AO229</f>
        <v>0</v>
      </c>
      <c r="BI229" s="29">
        <f>F229*AP229</f>
        <v>0</v>
      </c>
      <c r="BJ229" s="29">
        <f>F229*G229</f>
        <v>0</v>
      </c>
      <c r="BK229" s="29"/>
      <c r="BL229" s="29"/>
      <c r="BW229" s="29">
        <v>21</v>
      </c>
      <c r="BX229" s="5" t="s">
        <v>415</v>
      </c>
    </row>
    <row r="230" spans="1:76" x14ac:dyDescent="0.25">
      <c r="A230" s="32"/>
      <c r="C230" s="34" t="s">
        <v>416</v>
      </c>
      <c r="D230" s="34" t="s">
        <v>51</v>
      </c>
      <c r="F230" s="35">
        <v>51.621870000000001</v>
      </c>
      <c r="K230" s="36"/>
    </row>
    <row r="231" spans="1:76" x14ac:dyDescent="0.25">
      <c r="A231" s="2" t="s">
        <v>417</v>
      </c>
      <c r="B231" s="3" t="s">
        <v>418</v>
      </c>
      <c r="C231" s="84" t="s">
        <v>419</v>
      </c>
      <c r="D231" s="85"/>
      <c r="E231" s="3" t="s">
        <v>160</v>
      </c>
      <c r="F231" s="29">
        <v>17.20729</v>
      </c>
      <c r="G231" s="29">
        <v>0</v>
      </c>
      <c r="H231" s="29">
        <f>F231*AO231</f>
        <v>0</v>
      </c>
      <c r="I231" s="29">
        <f>F231*AP231</f>
        <v>0</v>
      </c>
      <c r="J231" s="29">
        <f>F231*G231</f>
        <v>0</v>
      </c>
      <c r="K231" s="30" t="s">
        <v>60</v>
      </c>
      <c r="Z231" s="29">
        <f>IF(AQ231="5",BJ231,0)</f>
        <v>0</v>
      </c>
      <c r="AB231" s="29">
        <f>IF(AQ231="1",BH231,0)</f>
        <v>0</v>
      </c>
      <c r="AC231" s="29">
        <f>IF(AQ231="1",BI231,0)</f>
        <v>0</v>
      </c>
      <c r="AD231" s="29">
        <f>IF(AQ231="7",BH231,0)</f>
        <v>0</v>
      </c>
      <c r="AE231" s="29">
        <f>IF(AQ231="7",BI231,0)</f>
        <v>0</v>
      </c>
      <c r="AF231" s="29">
        <f>IF(AQ231="2",BH231,0)</f>
        <v>0</v>
      </c>
      <c r="AG231" s="29">
        <f>IF(AQ231="2",BI231,0)</f>
        <v>0</v>
      </c>
      <c r="AH231" s="29">
        <f>IF(AQ231="0",BJ231,0)</f>
        <v>0</v>
      </c>
      <c r="AI231" s="11" t="s">
        <v>55</v>
      </c>
      <c r="AJ231" s="29">
        <f>IF(AN231=0,J231,0)</f>
        <v>0</v>
      </c>
      <c r="AK231" s="29">
        <f>IF(AN231=12,J231,0)</f>
        <v>0</v>
      </c>
      <c r="AL231" s="29">
        <f>IF(AN231=21,J231,0)</f>
        <v>0</v>
      </c>
      <c r="AN231" s="29">
        <v>21</v>
      </c>
      <c r="AO231" s="29">
        <f>G231*0</f>
        <v>0</v>
      </c>
      <c r="AP231" s="29">
        <f>G231*(1-0)</f>
        <v>0</v>
      </c>
      <c r="AQ231" s="31" t="s">
        <v>87</v>
      </c>
      <c r="AV231" s="29">
        <f>AW231+AX231</f>
        <v>0</v>
      </c>
      <c r="AW231" s="29">
        <f>F231*AO231</f>
        <v>0</v>
      </c>
      <c r="AX231" s="29">
        <f>F231*AP231</f>
        <v>0</v>
      </c>
      <c r="AY231" s="31" t="s">
        <v>391</v>
      </c>
      <c r="AZ231" s="31" t="s">
        <v>342</v>
      </c>
      <c r="BA231" s="11" t="s">
        <v>63</v>
      </c>
      <c r="BC231" s="29">
        <f>AW231+AX231</f>
        <v>0</v>
      </c>
      <c r="BD231" s="29">
        <f>G231/(100-BE231)*100</f>
        <v>0</v>
      </c>
      <c r="BE231" s="29">
        <v>0</v>
      </c>
      <c r="BF231" s="29">
        <f>231</f>
        <v>231</v>
      </c>
      <c r="BH231" s="29">
        <f>F231*AO231</f>
        <v>0</v>
      </c>
      <c r="BI231" s="29">
        <f>F231*AP231</f>
        <v>0</v>
      </c>
      <c r="BJ231" s="29">
        <f>F231*G231</f>
        <v>0</v>
      </c>
      <c r="BK231" s="29"/>
      <c r="BL231" s="29"/>
      <c r="BW231" s="29">
        <v>21</v>
      </c>
      <c r="BX231" s="5" t="s">
        <v>419</v>
      </c>
    </row>
    <row r="232" spans="1:76" x14ac:dyDescent="0.25">
      <c r="A232" s="32"/>
      <c r="C232" s="34" t="s">
        <v>392</v>
      </c>
      <c r="D232" s="34" t="s">
        <v>51</v>
      </c>
      <c r="F232" s="35">
        <v>17.20729</v>
      </c>
      <c r="K232" s="36"/>
    </row>
    <row r="233" spans="1:76" x14ac:dyDescent="0.25">
      <c r="A233" s="32"/>
      <c r="B233" s="37" t="s">
        <v>69</v>
      </c>
      <c r="C233" s="86" t="s">
        <v>420</v>
      </c>
      <c r="D233" s="87"/>
      <c r="E233" s="87"/>
      <c r="F233" s="87"/>
      <c r="G233" s="87"/>
      <c r="H233" s="87"/>
      <c r="I233" s="87"/>
      <c r="J233" s="87"/>
      <c r="K233" s="88"/>
      <c r="BX233" s="33" t="s">
        <v>420</v>
      </c>
    </row>
    <row r="234" spans="1:76" x14ac:dyDescent="0.25">
      <c r="A234" s="2" t="s">
        <v>53</v>
      </c>
      <c r="B234" s="3" t="s">
        <v>421</v>
      </c>
      <c r="C234" s="84" t="s">
        <v>422</v>
      </c>
      <c r="D234" s="85"/>
      <c r="E234" s="3" t="s">
        <v>160</v>
      </c>
      <c r="F234" s="29">
        <v>17.20729</v>
      </c>
      <c r="G234" s="29">
        <v>0</v>
      </c>
      <c r="H234" s="29">
        <f>F234*AO234</f>
        <v>0</v>
      </c>
      <c r="I234" s="29">
        <f>F234*AP234</f>
        <v>0</v>
      </c>
      <c r="J234" s="29">
        <f>F234*G234</f>
        <v>0</v>
      </c>
      <c r="K234" s="30" t="s">
        <v>60</v>
      </c>
      <c r="Z234" s="29">
        <f>IF(AQ234="5",BJ234,0)</f>
        <v>0</v>
      </c>
      <c r="AB234" s="29">
        <f>IF(AQ234="1",BH234,0)</f>
        <v>0</v>
      </c>
      <c r="AC234" s="29">
        <f>IF(AQ234="1",BI234,0)</f>
        <v>0</v>
      </c>
      <c r="AD234" s="29">
        <f>IF(AQ234="7",BH234,0)</f>
        <v>0</v>
      </c>
      <c r="AE234" s="29">
        <f>IF(AQ234="7",BI234,0)</f>
        <v>0</v>
      </c>
      <c r="AF234" s="29">
        <f>IF(AQ234="2",BH234,0)</f>
        <v>0</v>
      </c>
      <c r="AG234" s="29">
        <f>IF(AQ234="2",BI234,0)</f>
        <v>0</v>
      </c>
      <c r="AH234" s="29">
        <f>IF(AQ234="0",BJ234,0)</f>
        <v>0</v>
      </c>
      <c r="AI234" s="11" t="s">
        <v>55</v>
      </c>
      <c r="AJ234" s="29">
        <f>IF(AN234=0,J234,0)</f>
        <v>0</v>
      </c>
      <c r="AK234" s="29">
        <f>IF(AN234=12,J234,0)</f>
        <v>0</v>
      </c>
      <c r="AL234" s="29">
        <f>IF(AN234=21,J234,0)</f>
        <v>0</v>
      </c>
      <c r="AN234" s="29">
        <v>21</v>
      </c>
      <c r="AO234" s="29">
        <f>G234*0</f>
        <v>0</v>
      </c>
      <c r="AP234" s="29">
        <f>G234*(1-0)</f>
        <v>0</v>
      </c>
      <c r="AQ234" s="31" t="s">
        <v>87</v>
      </c>
      <c r="AV234" s="29">
        <f>AW234+AX234</f>
        <v>0</v>
      </c>
      <c r="AW234" s="29">
        <f>F234*AO234</f>
        <v>0</v>
      </c>
      <c r="AX234" s="29">
        <f>F234*AP234</f>
        <v>0</v>
      </c>
      <c r="AY234" s="31" t="s">
        <v>391</v>
      </c>
      <c r="AZ234" s="31" t="s">
        <v>342</v>
      </c>
      <c r="BA234" s="11" t="s">
        <v>63</v>
      </c>
      <c r="BC234" s="29">
        <f>AW234+AX234</f>
        <v>0</v>
      </c>
      <c r="BD234" s="29">
        <f>G234/(100-BE234)*100</f>
        <v>0</v>
      </c>
      <c r="BE234" s="29">
        <v>0</v>
      </c>
      <c r="BF234" s="29">
        <f>234</f>
        <v>234</v>
      </c>
      <c r="BH234" s="29">
        <f>F234*AO234</f>
        <v>0</v>
      </c>
      <c r="BI234" s="29">
        <f>F234*AP234</f>
        <v>0</v>
      </c>
      <c r="BJ234" s="29">
        <f>F234*G234</f>
        <v>0</v>
      </c>
      <c r="BK234" s="29"/>
      <c r="BL234" s="29"/>
      <c r="BW234" s="29">
        <v>21</v>
      </c>
      <c r="BX234" s="5" t="s">
        <v>422</v>
      </c>
    </row>
    <row r="235" spans="1:76" x14ac:dyDescent="0.25">
      <c r="A235" s="32"/>
      <c r="C235" s="34" t="s">
        <v>392</v>
      </c>
      <c r="D235" s="34" t="s">
        <v>51</v>
      </c>
      <c r="F235" s="35">
        <v>17.20729</v>
      </c>
      <c r="K235" s="36"/>
    </row>
    <row r="236" spans="1:76" x14ac:dyDescent="0.25">
      <c r="A236" s="45"/>
      <c r="B236" s="46" t="s">
        <v>69</v>
      </c>
      <c r="C236" s="89" t="s">
        <v>423</v>
      </c>
      <c r="D236" s="90"/>
      <c r="E236" s="90"/>
      <c r="F236" s="90"/>
      <c r="G236" s="90"/>
      <c r="H236" s="90"/>
      <c r="I236" s="90"/>
      <c r="J236" s="90"/>
      <c r="K236" s="91"/>
      <c r="BX236" s="33" t="s">
        <v>423</v>
      </c>
    </row>
    <row r="237" spans="1:76" x14ac:dyDescent="0.25">
      <c r="H237" s="92" t="s">
        <v>424</v>
      </c>
      <c r="I237" s="92"/>
      <c r="J237" s="47">
        <f>ROUND(J13+J29+J36+J52+J67+J110+J140+J154+J169+J182+J210+J213,1)</f>
        <v>0</v>
      </c>
    </row>
    <row r="238" spans="1:76" x14ac:dyDescent="0.25">
      <c r="A238" s="48" t="s">
        <v>425</v>
      </c>
    </row>
    <row r="239" spans="1:76" ht="12.75" customHeight="1" x14ac:dyDescent="0.25">
      <c r="A239" s="84" t="s">
        <v>51</v>
      </c>
      <c r="B239" s="85"/>
      <c r="C239" s="85"/>
      <c r="D239" s="85"/>
      <c r="E239" s="85"/>
      <c r="F239" s="85"/>
      <c r="G239" s="85"/>
      <c r="H239" s="85"/>
      <c r="I239" s="85"/>
      <c r="J239" s="85"/>
      <c r="K239" s="85"/>
    </row>
  </sheetData>
  <mergeCells count="157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5:K15"/>
    <mergeCell ref="C18:K18"/>
    <mergeCell ref="C19:D19"/>
    <mergeCell ref="C21:K21"/>
    <mergeCell ref="C22:D22"/>
    <mergeCell ref="C11:D11"/>
    <mergeCell ref="H10:J10"/>
    <mergeCell ref="C12:D12"/>
    <mergeCell ref="C13:D13"/>
    <mergeCell ref="C14:D14"/>
    <mergeCell ref="C32:K32"/>
    <mergeCell ref="C33:D33"/>
    <mergeCell ref="C35:K35"/>
    <mergeCell ref="C36:D36"/>
    <mergeCell ref="C37:D37"/>
    <mergeCell ref="C24:K24"/>
    <mergeCell ref="C25:D25"/>
    <mergeCell ref="C27:D27"/>
    <mergeCell ref="C29:D29"/>
    <mergeCell ref="C30:D30"/>
    <mergeCell ref="C46:D46"/>
    <mergeCell ref="C48:K48"/>
    <mergeCell ref="C49:D49"/>
    <mergeCell ref="C51:K51"/>
    <mergeCell ref="C52:D52"/>
    <mergeCell ref="C39:K39"/>
    <mergeCell ref="C40:D40"/>
    <mergeCell ref="C41:K41"/>
    <mergeCell ref="C43:K43"/>
    <mergeCell ref="C44:D44"/>
    <mergeCell ref="C61:K61"/>
    <mergeCell ref="C62:D62"/>
    <mergeCell ref="C64:K64"/>
    <mergeCell ref="C65:D65"/>
    <mergeCell ref="C67:D67"/>
    <mergeCell ref="C53:D53"/>
    <mergeCell ref="C54:K54"/>
    <mergeCell ref="C56:K56"/>
    <mergeCell ref="C57:D57"/>
    <mergeCell ref="C58:K58"/>
    <mergeCell ref="C108:D108"/>
    <mergeCell ref="C110:D110"/>
    <mergeCell ref="C111:D111"/>
    <mergeCell ref="C114:D114"/>
    <mergeCell ref="C116:K116"/>
    <mergeCell ref="C68:D68"/>
    <mergeCell ref="C82:K82"/>
    <mergeCell ref="C83:D83"/>
    <mergeCell ref="C95:D95"/>
    <mergeCell ref="C96:K96"/>
    <mergeCell ref="C124:D124"/>
    <mergeCell ref="C126:K126"/>
    <mergeCell ref="C127:D127"/>
    <mergeCell ref="C128:K128"/>
    <mergeCell ref="C130:K130"/>
    <mergeCell ref="C117:D117"/>
    <mergeCell ref="C118:K118"/>
    <mergeCell ref="C120:K120"/>
    <mergeCell ref="C121:D121"/>
    <mergeCell ref="C123:K123"/>
    <mergeCell ref="C138:D138"/>
    <mergeCell ref="C140:D140"/>
    <mergeCell ref="C141:D141"/>
    <mergeCell ref="C143:D143"/>
    <mergeCell ref="C144:K144"/>
    <mergeCell ref="C131:D131"/>
    <mergeCell ref="C132:K132"/>
    <mergeCell ref="C134:K134"/>
    <mergeCell ref="C135:D135"/>
    <mergeCell ref="C137:K137"/>
    <mergeCell ref="C154:D154"/>
    <mergeCell ref="C155:D155"/>
    <mergeCell ref="C157:K157"/>
    <mergeCell ref="C158:D158"/>
    <mergeCell ref="C160:K160"/>
    <mergeCell ref="C146:D146"/>
    <mergeCell ref="C147:K147"/>
    <mergeCell ref="C149:D149"/>
    <mergeCell ref="C150:K150"/>
    <mergeCell ref="C152:D152"/>
    <mergeCell ref="C169:D169"/>
    <mergeCell ref="C170:D170"/>
    <mergeCell ref="C172:K172"/>
    <mergeCell ref="C173:D173"/>
    <mergeCell ref="C175:K175"/>
    <mergeCell ref="C161:D161"/>
    <mergeCell ref="C163:K163"/>
    <mergeCell ref="C164:D164"/>
    <mergeCell ref="C166:K166"/>
    <mergeCell ref="C167:D167"/>
    <mergeCell ref="C183:D183"/>
    <mergeCell ref="C185:D185"/>
    <mergeCell ref="C189:D189"/>
    <mergeCell ref="C191:K191"/>
    <mergeCell ref="C192:D192"/>
    <mergeCell ref="C176:D176"/>
    <mergeCell ref="C177:K177"/>
    <mergeCell ref="C179:D179"/>
    <mergeCell ref="C180:K180"/>
    <mergeCell ref="C182:D182"/>
    <mergeCell ref="C200:D200"/>
    <mergeCell ref="C201:K201"/>
    <mergeCell ref="C203:K203"/>
    <mergeCell ref="C204:D204"/>
    <mergeCell ref="C206:K206"/>
    <mergeCell ref="C193:K193"/>
    <mergeCell ref="C195:K195"/>
    <mergeCell ref="C196:D196"/>
    <mergeCell ref="C197:K197"/>
    <mergeCell ref="C199:K199"/>
    <mergeCell ref="C214:D214"/>
    <mergeCell ref="C216:D216"/>
    <mergeCell ref="C218:D218"/>
    <mergeCell ref="C220:K220"/>
    <mergeCell ref="C221:D221"/>
    <mergeCell ref="C207:D207"/>
    <mergeCell ref="C209:K209"/>
    <mergeCell ref="C210:D210"/>
    <mergeCell ref="C211:D211"/>
    <mergeCell ref="C213:D213"/>
    <mergeCell ref="A239:K239"/>
    <mergeCell ref="C231:D231"/>
    <mergeCell ref="C233:K233"/>
    <mergeCell ref="C234:D234"/>
    <mergeCell ref="C236:K236"/>
    <mergeCell ref="H237:I237"/>
    <mergeCell ref="C223:K223"/>
    <mergeCell ref="C224:D224"/>
    <mergeCell ref="C226:K226"/>
    <mergeCell ref="C227:D227"/>
    <mergeCell ref="C229:D22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workbookViewId="0">
      <pane ySplit="11" topLeftCell="A12" activePane="bottomLeft" state="frozen"/>
      <selection pane="bottomLeft" activeCell="C23" sqref="C23:D23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4" width="12.140625" customWidth="1"/>
    <col min="5" max="7" width="27.85546875" customWidth="1"/>
    <col min="8" max="9" width="0" hidden="1" customWidth="1"/>
  </cols>
  <sheetData>
    <row r="1" spans="1:9" ht="54.75" customHeight="1" x14ac:dyDescent="0.25">
      <c r="A1" s="111" t="s">
        <v>426</v>
      </c>
      <c r="B1" s="111"/>
      <c r="C1" s="111"/>
      <c r="D1" s="111"/>
      <c r="E1" s="111"/>
      <c r="F1" s="111"/>
      <c r="G1" s="111"/>
    </row>
    <row r="2" spans="1:9" x14ac:dyDescent="0.25">
      <c r="A2" s="112" t="s">
        <v>1</v>
      </c>
      <c r="B2" s="104"/>
      <c r="C2" s="117" t="str">
        <f>'Stavební rozpočet'!C2</f>
        <v>„VOŠZ a SZŠ Svitavy – výměna oken v budově domova mládeže“</v>
      </c>
      <c r="D2" s="104" t="s">
        <v>2</v>
      </c>
      <c r="E2" s="104" t="s">
        <v>3</v>
      </c>
      <c r="F2" s="116" t="s">
        <v>4</v>
      </c>
      <c r="G2" s="120" t="str">
        <f>'Stavební rozpočet'!I2</f>
        <v> </v>
      </c>
    </row>
    <row r="3" spans="1:9" ht="15" customHeight="1" x14ac:dyDescent="0.25">
      <c r="A3" s="113"/>
      <c r="B3" s="85"/>
      <c r="C3" s="119"/>
      <c r="D3" s="85"/>
      <c r="E3" s="85"/>
      <c r="F3" s="85"/>
      <c r="G3" s="106"/>
    </row>
    <row r="4" spans="1:9" x14ac:dyDescent="0.25">
      <c r="A4" s="114" t="s">
        <v>6</v>
      </c>
      <c r="B4" s="85"/>
      <c r="C4" s="84" t="str">
        <f>'Stavební rozpočet'!C4</f>
        <v>Domov mládeže, Kijevská 1909/7, Předměstí, Svitavy</v>
      </c>
      <c r="D4" s="85" t="s">
        <v>7</v>
      </c>
      <c r="E4" s="85" t="s">
        <v>8</v>
      </c>
      <c r="F4" s="84" t="s">
        <v>9</v>
      </c>
      <c r="G4" s="121" t="str">
        <f>'Stavební rozpočet'!I4</f>
        <v>ing. Karel Kundera</v>
      </c>
    </row>
    <row r="5" spans="1:9" ht="15" customHeight="1" x14ac:dyDescent="0.25">
      <c r="A5" s="113"/>
      <c r="B5" s="85"/>
      <c r="C5" s="85"/>
      <c r="D5" s="85"/>
      <c r="E5" s="85"/>
      <c r="F5" s="85"/>
      <c r="G5" s="106"/>
    </row>
    <row r="6" spans="1:9" x14ac:dyDescent="0.25">
      <c r="A6" s="114" t="s">
        <v>11</v>
      </c>
      <c r="B6" s="85"/>
      <c r="C6" s="84" t="str">
        <f>'Stavební rozpočet'!C6</f>
        <v>Svitavy</v>
      </c>
      <c r="D6" s="85" t="s">
        <v>13</v>
      </c>
      <c r="E6" s="85" t="s">
        <v>14</v>
      </c>
      <c r="F6" s="84" t="s">
        <v>15</v>
      </c>
      <c r="G6" s="121" t="str">
        <f>'Stavební rozpočet'!I6</f>
        <v> </v>
      </c>
    </row>
    <row r="7" spans="1:9" ht="15" customHeight="1" x14ac:dyDescent="0.25">
      <c r="A7" s="113"/>
      <c r="B7" s="85"/>
      <c r="C7" s="85"/>
      <c r="D7" s="85"/>
      <c r="E7" s="85"/>
      <c r="F7" s="85"/>
      <c r="G7" s="106"/>
    </row>
    <row r="8" spans="1:9" x14ac:dyDescent="0.25">
      <c r="A8" s="114" t="s">
        <v>20</v>
      </c>
      <c r="B8" s="85"/>
      <c r="C8" s="84" t="str">
        <f>'Stavební rozpočet'!I8</f>
        <v>ing. Karel Kundera</v>
      </c>
      <c r="D8" s="85" t="s">
        <v>18</v>
      </c>
      <c r="E8" s="85" t="s">
        <v>19</v>
      </c>
      <c r="F8" s="85" t="s">
        <v>18</v>
      </c>
      <c r="G8" s="121" t="str">
        <f>'Stavební rozpočet'!G8</f>
        <v>04.10.2024</v>
      </c>
    </row>
    <row r="9" spans="1:9" x14ac:dyDescent="0.25">
      <c r="A9" s="115"/>
      <c r="B9" s="107"/>
      <c r="C9" s="107"/>
      <c r="D9" s="122"/>
      <c r="E9" s="107"/>
      <c r="F9" s="107"/>
      <c r="G9" s="108"/>
    </row>
    <row r="10" spans="1:9" x14ac:dyDescent="0.25">
      <c r="A10" s="49" t="s">
        <v>427</v>
      </c>
      <c r="B10" s="50" t="s">
        <v>22</v>
      </c>
      <c r="C10" s="51" t="s">
        <v>23</v>
      </c>
      <c r="E10" s="52" t="s">
        <v>428</v>
      </c>
      <c r="F10" s="53" t="s">
        <v>429</v>
      </c>
      <c r="G10" s="53" t="s">
        <v>430</v>
      </c>
    </row>
    <row r="11" spans="1:9" x14ac:dyDescent="0.25">
      <c r="A11" s="54" t="s">
        <v>55</v>
      </c>
      <c r="B11" s="55" t="s">
        <v>51</v>
      </c>
      <c r="C11" s="85" t="s">
        <v>52</v>
      </c>
      <c r="D11" s="85"/>
      <c r="E11" s="56">
        <f>'Stavební rozpočet'!H12</f>
        <v>0</v>
      </c>
      <c r="F11" s="56">
        <f>'Stavební rozpočet'!I12</f>
        <v>0</v>
      </c>
      <c r="G11" s="56">
        <f>'Stavební rozpočet'!J12</f>
        <v>0</v>
      </c>
      <c r="H11" s="31" t="s">
        <v>431</v>
      </c>
      <c r="I11" s="29">
        <f t="shared" ref="I11:I23" si="0">IF(H11="F",0,G11)</f>
        <v>0</v>
      </c>
    </row>
    <row r="12" spans="1:9" x14ac:dyDescent="0.25">
      <c r="A12" s="2" t="s">
        <v>55</v>
      </c>
      <c r="B12" s="3" t="s">
        <v>53</v>
      </c>
      <c r="C12" s="85" t="s">
        <v>54</v>
      </c>
      <c r="D12" s="85"/>
      <c r="E12" s="29">
        <f>'Stavební rozpočet'!H13</f>
        <v>0</v>
      </c>
      <c r="F12" s="29">
        <f>'Stavební rozpočet'!I13</f>
        <v>0</v>
      </c>
      <c r="G12" s="29">
        <f>'Stavební rozpočet'!J13</f>
        <v>0</v>
      </c>
      <c r="H12" s="31" t="s">
        <v>432</v>
      </c>
      <c r="I12" s="29">
        <f t="shared" si="0"/>
        <v>0</v>
      </c>
    </row>
    <row r="13" spans="1:9" x14ac:dyDescent="0.25">
      <c r="A13" s="2" t="s">
        <v>55</v>
      </c>
      <c r="B13" s="3" t="s">
        <v>91</v>
      </c>
      <c r="C13" s="85" t="s">
        <v>92</v>
      </c>
      <c r="D13" s="85"/>
      <c r="E13" s="29">
        <f>'Stavební rozpočet'!H29</f>
        <v>0</v>
      </c>
      <c r="F13" s="29">
        <f>'Stavební rozpočet'!I29</f>
        <v>0</v>
      </c>
      <c r="G13" s="29">
        <f>'Stavební rozpočet'!J29</f>
        <v>0</v>
      </c>
      <c r="H13" s="31" t="s">
        <v>432</v>
      </c>
      <c r="I13" s="29">
        <f t="shared" si="0"/>
        <v>0</v>
      </c>
    </row>
    <row r="14" spans="1:9" x14ac:dyDescent="0.25">
      <c r="A14" s="2" t="s">
        <v>55</v>
      </c>
      <c r="B14" s="3" t="s">
        <v>105</v>
      </c>
      <c r="C14" s="85" t="s">
        <v>106</v>
      </c>
      <c r="D14" s="85"/>
      <c r="E14" s="29">
        <f>'Stavební rozpočet'!H36</f>
        <v>0</v>
      </c>
      <c r="F14" s="29">
        <f>'Stavební rozpočet'!I36</f>
        <v>0</v>
      </c>
      <c r="G14" s="29">
        <f>'Stavební rozpočet'!J36</f>
        <v>0</v>
      </c>
      <c r="H14" s="31" t="s">
        <v>432</v>
      </c>
      <c r="I14" s="29">
        <f t="shared" si="0"/>
        <v>0</v>
      </c>
    </row>
    <row r="15" spans="1:9" x14ac:dyDescent="0.25">
      <c r="A15" s="2" t="s">
        <v>55</v>
      </c>
      <c r="B15" s="3" t="s">
        <v>134</v>
      </c>
      <c r="C15" s="85" t="s">
        <v>135</v>
      </c>
      <c r="D15" s="85"/>
      <c r="E15" s="29">
        <f>'Stavební rozpočet'!H52</f>
        <v>0</v>
      </c>
      <c r="F15" s="29">
        <f>'Stavební rozpočet'!I52</f>
        <v>0</v>
      </c>
      <c r="G15" s="29">
        <f>'Stavební rozpočet'!J52</f>
        <v>0</v>
      </c>
      <c r="H15" s="31" t="s">
        <v>432</v>
      </c>
      <c r="I15" s="29">
        <f t="shared" si="0"/>
        <v>0</v>
      </c>
    </row>
    <row r="16" spans="1:9" x14ac:dyDescent="0.25">
      <c r="A16" s="2" t="s">
        <v>55</v>
      </c>
      <c r="B16" s="3" t="s">
        <v>162</v>
      </c>
      <c r="C16" s="85" t="s">
        <v>163</v>
      </c>
      <c r="D16" s="85"/>
      <c r="E16" s="29">
        <f>'Stavební rozpočet'!H67</f>
        <v>0</v>
      </c>
      <c r="F16" s="29">
        <f>'Stavební rozpočet'!I67</f>
        <v>0</v>
      </c>
      <c r="G16" s="29">
        <f>'Stavební rozpočet'!J67</f>
        <v>0</v>
      </c>
      <c r="H16" s="31" t="s">
        <v>432</v>
      </c>
      <c r="I16" s="29">
        <f t="shared" si="0"/>
        <v>0</v>
      </c>
    </row>
    <row r="17" spans="1:9" x14ac:dyDescent="0.25">
      <c r="A17" s="2" t="s">
        <v>55</v>
      </c>
      <c r="B17" s="3" t="s">
        <v>211</v>
      </c>
      <c r="C17" s="85" t="s">
        <v>212</v>
      </c>
      <c r="D17" s="85"/>
      <c r="E17" s="29">
        <f>'Stavební rozpočet'!H110</f>
        <v>0</v>
      </c>
      <c r="F17" s="29">
        <f>'Stavební rozpočet'!I110</f>
        <v>0</v>
      </c>
      <c r="G17" s="29">
        <f>'Stavební rozpočet'!J110</f>
        <v>0</v>
      </c>
      <c r="H17" s="31" t="s">
        <v>432</v>
      </c>
      <c r="I17" s="29">
        <f t="shared" si="0"/>
        <v>0</v>
      </c>
    </row>
    <row r="18" spans="1:9" x14ac:dyDescent="0.25">
      <c r="A18" s="2" t="s">
        <v>55</v>
      </c>
      <c r="B18" s="3" t="s">
        <v>261</v>
      </c>
      <c r="C18" s="85" t="s">
        <v>262</v>
      </c>
      <c r="D18" s="85"/>
      <c r="E18" s="29">
        <f>'Stavební rozpočet'!H140</f>
        <v>0</v>
      </c>
      <c r="F18" s="29">
        <f>'Stavební rozpočet'!I140</f>
        <v>0</v>
      </c>
      <c r="G18" s="29">
        <f>'Stavební rozpočet'!J140</f>
        <v>0</v>
      </c>
      <c r="H18" s="31" t="s">
        <v>432</v>
      </c>
      <c r="I18" s="29">
        <f t="shared" si="0"/>
        <v>0</v>
      </c>
    </row>
    <row r="19" spans="1:9" x14ac:dyDescent="0.25">
      <c r="A19" s="2" t="s">
        <v>55</v>
      </c>
      <c r="B19" s="3" t="s">
        <v>287</v>
      </c>
      <c r="C19" s="85" t="s">
        <v>288</v>
      </c>
      <c r="D19" s="85"/>
      <c r="E19" s="29">
        <f>'Stavební rozpočet'!H154</f>
        <v>0</v>
      </c>
      <c r="F19" s="29">
        <f>'Stavební rozpočet'!I154</f>
        <v>0</v>
      </c>
      <c r="G19" s="29">
        <f>'Stavební rozpočet'!J154</f>
        <v>0</v>
      </c>
      <c r="H19" s="31" t="s">
        <v>432</v>
      </c>
      <c r="I19" s="29">
        <f t="shared" si="0"/>
        <v>0</v>
      </c>
    </row>
    <row r="20" spans="1:9" x14ac:dyDescent="0.25">
      <c r="A20" s="2" t="s">
        <v>55</v>
      </c>
      <c r="B20" s="3" t="s">
        <v>315</v>
      </c>
      <c r="C20" s="85" t="s">
        <v>316</v>
      </c>
      <c r="D20" s="85"/>
      <c r="E20" s="29">
        <f>'Stavební rozpočet'!H169</f>
        <v>0</v>
      </c>
      <c r="F20" s="29">
        <f>'Stavební rozpočet'!I169</f>
        <v>0</v>
      </c>
      <c r="G20" s="29">
        <f>'Stavební rozpočet'!J169</f>
        <v>0</v>
      </c>
      <c r="H20" s="31" t="s">
        <v>432</v>
      </c>
      <c r="I20" s="29">
        <f t="shared" si="0"/>
        <v>0</v>
      </c>
    </row>
    <row r="21" spans="1:9" x14ac:dyDescent="0.25">
      <c r="A21" s="2" t="s">
        <v>55</v>
      </c>
      <c r="B21" s="3" t="s">
        <v>336</v>
      </c>
      <c r="C21" s="85" t="s">
        <v>337</v>
      </c>
      <c r="D21" s="85"/>
      <c r="E21" s="29">
        <f>'Stavební rozpočet'!H182</f>
        <v>0</v>
      </c>
      <c r="F21" s="29">
        <f>'Stavební rozpočet'!I182</f>
        <v>0</v>
      </c>
      <c r="G21" s="29">
        <f>'Stavební rozpočet'!J182</f>
        <v>0</v>
      </c>
      <c r="H21" s="31" t="s">
        <v>432</v>
      </c>
      <c r="I21" s="29">
        <f t="shared" si="0"/>
        <v>0</v>
      </c>
    </row>
    <row r="22" spans="1:9" x14ac:dyDescent="0.25">
      <c r="A22" s="2" t="s">
        <v>55</v>
      </c>
      <c r="B22" s="3" t="s">
        <v>379</v>
      </c>
      <c r="C22" s="85" t="s">
        <v>380</v>
      </c>
      <c r="D22" s="85"/>
      <c r="E22" s="29">
        <f>'Stavební rozpočet'!H210</f>
        <v>0</v>
      </c>
      <c r="F22" s="29">
        <f>'Stavební rozpočet'!I210</f>
        <v>0</v>
      </c>
      <c r="G22" s="29">
        <f>'Stavební rozpočet'!J210</f>
        <v>0</v>
      </c>
      <c r="H22" s="31" t="s">
        <v>432</v>
      </c>
      <c r="I22" s="29">
        <f t="shared" si="0"/>
        <v>0</v>
      </c>
    </row>
    <row r="23" spans="1:9" x14ac:dyDescent="0.25">
      <c r="A23" s="2" t="s">
        <v>55</v>
      </c>
      <c r="B23" s="3" t="s">
        <v>386</v>
      </c>
      <c r="C23" s="85" t="s">
        <v>387</v>
      </c>
      <c r="D23" s="85"/>
      <c r="E23" s="29">
        <f>'Stavební rozpočet'!H213</f>
        <v>0</v>
      </c>
      <c r="F23" s="29">
        <f>'Stavební rozpočet'!I213</f>
        <v>0</v>
      </c>
      <c r="G23" s="29">
        <f>'Stavební rozpočet'!J213</f>
        <v>0</v>
      </c>
      <c r="H23" s="31" t="s">
        <v>432</v>
      </c>
      <c r="I23" s="29">
        <f t="shared" si="0"/>
        <v>0</v>
      </c>
    </row>
    <row r="24" spans="1:9" x14ac:dyDescent="0.25">
      <c r="F24" s="4" t="s">
        <v>424</v>
      </c>
      <c r="G24" s="57">
        <f>ROUND(SUM(I11:I23),1)</f>
        <v>0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D11"/>
    <mergeCell ref="C8:C9"/>
    <mergeCell ref="E2:E3"/>
    <mergeCell ref="E4:E5"/>
    <mergeCell ref="E6:E7"/>
    <mergeCell ref="E8:E9"/>
    <mergeCell ref="C12:D12"/>
    <mergeCell ref="C13:D13"/>
    <mergeCell ref="C14:D14"/>
    <mergeCell ref="C15:D15"/>
    <mergeCell ref="C16:D16"/>
    <mergeCell ref="C22:D22"/>
    <mergeCell ref="C23:D23"/>
    <mergeCell ref="C17:D17"/>
    <mergeCell ref="C18:D18"/>
    <mergeCell ref="C19:D19"/>
    <mergeCell ref="C20:D20"/>
    <mergeCell ref="C21:D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3"/>
  <sheetViews>
    <sheetView workbookViewId="0">
      <selection activeCell="A13" sqref="A13:G13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42.85546875" customWidth="1"/>
    <col min="5" max="5" width="14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111" t="s">
        <v>433</v>
      </c>
      <c r="B1" s="111"/>
      <c r="C1" s="111"/>
      <c r="D1" s="111"/>
      <c r="E1" s="111"/>
      <c r="F1" s="111"/>
      <c r="G1" s="111"/>
      <c r="H1" s="111"/>
    </row>
    <row r="2" spans="1:8" x14ac:dyDescent="0.25">
      <c r="A2" s="112" t="s">
        <v>1</v>
      </c>
      <c r="B2" s="104"/>
      <c r="C2" s="117" t="str">
        <f>'Stavební rozpočet'!C2</f>
        <v>„VOŠZ a SZŠ Svitavy – výměna oken v budově domova mládeže“</v>
      </c>
      <c r="D2" s="118"/>
      <c r="E2" s="116" t="s">
        <v>4</v>
      </c>
      <c r="F2" s="116" t="str">
        <f>'Stavební rozpočet'!I2</f>
        <v> </v>
      </c>
      <c r="G2" s="104"/>
      <c r="H2" s="105"/>
    </row>
    <row r="3" spans="1:8" ht="15" customHeight="1" x14ac:dyDescent="0.25">
      <c r="A3" s="113"/>
      <c r="B3" s="85"/>
      <c r="C3" s="119"/>
      <c r="D3" s="119"/>
      <c r="E3" s="85"/>
      <c r="F3" s="85"/>
      <c r="G3" s="85"/>
      <c r="H3" s="106"/>
    </row>
    <row r="4" spans="1:8" x14ac:dyDescent="0.25">
      <c r="A4" s="114" t="s">
        <v>6</v>
      </c>
      <c r="B4" s="85"/>
      <c r="C4" s="84" t="str">
        <f>'Stavební rozpočet'!C4</f>
        <v>Domov mládeže, Kijevská 1909/7, Předměstí, Svitavy</v>
      </c>
      <c r="D4" s="85"/>
      <c r="E4" s="84" t="s">
        <v>9</v>
      </c>
      <c r="F4" s="84" t="str">
        <f>'Stavební rozpočet'!I4</f>
        <v>ing. Karel Kundera</v>
      </c>
      <c r="G4" s="85"/>
      <c r="H4" s="106"/>
    </row>
    <row r="5" spans="1:8" ht="15" customHeight="1" x14ac:dyDescent="0.25">
      <c r="A5" s="113"/>
      <c r="B5" s="85"/>
      <c r="C5" s="85"/>
      <c r="D5" s="85"/>
      <c r="E5" s="85"/>
      <c r="F5" s="85"/>
      <c r="G5" s="85"/>
      <c r="H5" s="106"/>
    </row>
    <row r="6" spans="1:8" x14ac:dyDescent="0.25">
      <c r="A6" s="114" t="s">
        <v>11</v>
      </c>
      <c r="B6" s="85"/>
      <c r="C6" s="84" t="str">
        <f>'Stavební rozpočet'!C6</f>
        <v>Svitavy</v>
      </c>
      <c r="D6" s="85"/>
      <c r="E6" s="84" t="s">
        <v>15</v>
      </c>
      <c r="F6" s="84" t="str">
        <f>'Stavební rozpočet'!I6</f>
        <v> </v>
      </c>
      <c r="G6" s="85"/>
      <c r="H6" s="106"/>
    </row>
    <row r="7" spans="1:8" ht="15" customHeight="1" x14ac:dyDescent="0.25">
      <c r="A7" s="113"/>
      <c r="B7" s="85"/>
      <c r="C7" s="85"/>
      <c r="D7" s="85"/>
      <c r="E7" s="85"/>
      <c r="F7" s="85"/>
      <c r="G7" s="85"/>
      <c r="H7" s="106"/>
    </row>
    <row r="8" spans="1:8" x14ac:dyDescent="0.25">
      <c r="A8" s="114" t="s">
        <v>20</v>
      </c>
      <c r="B8" s="85"/>
      <c r="C8" s="84" t="str">
        <f>'Stavební rozpočet'!I8</f>
        <v>ing. Karel Kundera</v>
      </c>
      <c r="D8" s="85"/>
      <c r="E8" s="84" t="s">
        <v>18</v>
      </c>
      <c r="F8" s="84" t="str">
        <f>'Stavební rozpočet'!G8</f>
        <v>04.10.2024</v>
      </c>
      <c r="G8" s="85"/>
      <c r="H8" s="106"/>
    </row>
    <row r="9" spans="1:8" x14ac:dyDescent="0.25">
      <c r="A9" s="115"/>
      <c r="B9" s="107"/>
      <c r="C9" s="107"/>
      <c r="D9" s="107"/>
      <c r="E9" s="107"/>
      <c r="F9" s="107"/>
      <c r="G9" s="107"/>
      <c r="H9" s="108"/>
    </row>
    <row r="10" spans="1:8" x14ac:dyDescent="0.25">
      <c r="A10" s="58" t="s">
        <v>21</v>
      </c>
      <c r="B10" s="59" t="s">
        <v>427</v>
      </c>
      <c r="C10" s="59" t="s">
        <v>22</v>
      </c>
      <c r="D10" s="123" t="s">
        <v>434</v>
      </c>
      <c r="E10" s="124"/>
      <c r="F10" s="59" t="s">
        <v>24</v>
      </c>
      <c r="G10" s="60" t="s">
        <v>25</v>
      </c>
      <c r="H10" s="61" t="s">
        <v>435</v>
      </c>
    </row>
    <row r="12" spans="1:8" x14ac:dyDescent="0.25">
      <c r="A12" s="48" t="s">
        <v>425</v>
      </c>
    </row>
    <row r="13" spans="1:8" ht="12.75" customHeight="1" x14ac:dyDescent="0.25">
      <c r="A13" s="84" t="s">
        <v>51</v>
      </c>
      <c r="B13" s="85"/>
      <c r="C13" s="85"/>
      <c r="D13" s="85"/>
      <c r="E13" s="85"/>
      <c r="F13" s="85"/>
      <c r="G13" s="85"/>
    </row>
  </sheetData>
  <mergeCells count="19">
    <mergeCell ref="F2:H3"/>
    <mergeCell ref="F4:H5"/>
    <mergeCell ref="F6:H7"/>
    <mergeCell ref="F8:H9"/>
    <mergeCell ref="D10:E10"/>
    <mergeCell ref="A13:G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60" t="s">
        <v>436</v>
      </c>
      <c r="B1" s="111"/>
      <c r="C1" s="111"/>
      <c r="D1" s="111"/>
      <c r="E1" s="111"/>
      <c r="F1" s="111"/>
      <c r="G1" s="111"/>
      <c r="H1" s="111"/>
      <c r="I1" s="111"/>
    </row>
    <row r="2" spans="1:9" x14ac:dyDescent="0.25">
      <c r="A2" s="112" t="s">
        <v>1</v>
      </c>
      <c r="B2" s="104"/>
      <c r="C2" s="117" t="str">
        <f>'Stavební rozpočet'!C2</f>
        <v>„VOŠZ a SZŠ Svitavy – výměna oken v budově domova mládeže“</v>
      </c>
      <c r="D2" s="118"/>
      <c r="E2" s="116" t="s">
        <v>4</v>
      </c>
      <c r="F2" s="116" t="str">
        <f>'Stavební rozpočet'!I2</f>
        <v> </v>
      </c>
      <c r="G2" s="104"/>
      <c r="H2" s="116" t="s">
        <v>437</v>
      </c>
      <c r="I2" s="105" t="s">
        <v>51</v>
      </c>
    </row>
    <row r="3" spans="1:9" ht="15" customHeight="1" x14ac:dyDescent="0.25">
      <c r="A3" s="113"/>
      <c r="B3" s="85"/>
      <c r="C3" s="119"/>
      <c r="D3" s="119"/>
      <c r="E3" s="85"/>
      <c r="F3" s="85"/>
      <c r="G3" s="85"/>
      <c r="H3" s="85"/>
      <c r="I3" s="106"/>
    </row>
    <row r="4" spans="1:9" x14ac:dyDescent="0.25">
      <c r="A4" s="114" t="s">
        <v>6</v>
      </c>
      <c r="B4" s="85"/>
      <c r="C4" s="84" t="str">
        <f>'Stavební rozpočet'!C4</f>
        <v>Domov mládeže, Kijevská 1909/7, Předměstí, Svitavy</v>
      </c>
      <c r="D4" s="85"/>
      <c r="E4" s="84" t="s">
        <v>9</v>
      </c>
      <c r="F4" s="84" t="str">
        <f>'Stavební rozpočet'!I4</f>
        <v>ing. Karel Kundera</v>
      </c>
      <c r="G4" s="85"/>
      <c r="H4" s="84" t="s">
        <v>437</v>
      </c>
      <c r="I4" s="106" t="s">
        <v>438</v>
      </c>
    </row>
    <row r="5" spans="1:9" ht="15" customHeight="1" x14ac:dyDescent="0.25">
      <c r="A5" s="113"/>
      <c r="B5" s="85"/>
      <c r="C5" s="85"/>
      <c r="D5" s="85"/>
      <c r="E5" s="85"/>
      <c r="F5" s="85"/>
      <c r="G5" s="85"/>
      <c r="H5" s="85"/>
      <c r="I5" s="106"/>
    </row>
    <row r="6" spans="1:9" x14ac:dyDescent="0.25">
      <c r="A6" s="114" t="s">
        <v>11</v>
      </c>
      <c r="B6" s="85"/>
      <c r="C6" s="84" t="str">
        <f>'Stavební rozpočet'!C6</f>
        <v>Svitavy</v>
      </c>
      <c r="D6" s="85"/>
      <c r="E6" s="84" t="s">
        <v>15</v>
      </c>
      <c r="F6" s="84" t="str">
        <f>'Stavební rozpočet'!I6</f>
        <v> </v>
      </c>
      <c r="G6" s="85"/>
      <c r="H6" s="84" t="s">
        <v>437</v>
      </c>
      <c r="I6" s="106" t="s">
        <v>51</v>
      </c>
    </row>
    <row r="7" spans="1:9" ht="15" customHeight="1" x14ac:dyDescent="0.25">
      <c r="A7" s="113"/>
      <c r="B7" s="85"/>
      <c r="C7" s="85"/>
      <c r="D7" s="85"/>
      <c r="E7" s="85"/>
      <c r="F7" s="85"/>
      <c r="G7" s="85"/>
      <c r="H7" s="85"/>
      <c r="I7" s="106"/>
    </row>
    <row r="8" spans="1:9" x14ac:dyDescent="0.25">
      <c r="A8" s="114" t="s">
        <v>7</v>
      </c>
      <c r="B8" s="85"/>
      <c r="C8" s="84" t="str">
        <f>'Stavební rozpočet'!G4</f>
        <v>01.12.2024</v>
      </c>
      <c r="D8" s="85"/>
      <c r="E8" s="84" t="s">
        <v>13</v>
      </c>
      <c r="F8" s="84" t="str">
        <f>'Stavební rozpočet'!G6</f>
        <v>30.05.2025</v>
      </c>
      <c r="G8" s="85"/>
      <c r="H8" s="85" t="s">
        <v>439</v>
      </c>
      <c r="I8" s="161">
        <v>61</v>
      </c>
    </row>
    <row r="9" spans="1:9" x14ac:dyDescent="0.25">
      <c r="A9" s="113"/>
      <c r="B9" s="85"/>
      <c r="C9" s="85"/>
      <c r="D9" s="85"/>
      <c r="E9" s="85"/>
      <c r="F9" s="85"/>
      <c r="G9" s="85"/>
      <c r="H9" s="85"/>
      <c r="I9" s="106"/>
    </row>
    <row r="10" spans="1:9" x14ac:dyDescent="0.25">
      <c r="A10" s="114" t="s">
        <v>16</v>
      </c>
      <c r="B10" s="85"/>
      <c r="C10" s="84" t="str">
        <f>'Stavební rozpočet'!C8</f>
        <v>8017212</v>
      </c>
      <c r="D10" s="85"/>
      <c r="E10" s="84" t="s">
        <v>20</v>
      </c>
      <c r="F10" s="84" t="str">
        <f>'Stavební rozpočet'!I8</f>
        <v>ing. Karel Kundera</v>
      </c>
      <c r="G10" s="85"/>
      <c r="H10" s="85" t="s">
        <v>440</v>
      </c>
      <c r="I10" s="121" t="str">
        <f>'Stavební rozpočet'!G8</f>
        <v>04.10.2024</v>
      </c>
    </row>
    <row r="11" spans="1:9" x14ac:dyDescent="0.25">
      <c r="A11" s="159"/>
      <c r="B11" s="122"/>
      <c r="C11" s="122"/>
      <c r="D11" s="122"/>
      <c r="E11" s="122"/>
      <c r="F11" s="122"/>
      <c r="G11" s="122"/>
      <c r="H11" s="122"/>
      <c r="I11" s="155"/>
    </row>
    <row r="12" spans="1:9" ht="23.25" x14ac:dyDescent="0.25">
      <c r="A12" s="156" t="s">
        <v>441</v>
      </c>
      <c r="B12" s="156"/>
      <c r="C12" s="156"/>
      <c r="D12" s="156"/>
      <c r="E12" s="156"/>
      <c r="F12" s="156"/>
      <c r="G12" s="156"/>
      <c r="H12" s="156"/>
      <c r="I12" s="156"/>
    </row>
    <row r="13" spans="1:9" ht="26.25" customHeight="1" x14ac:dyDescent="0.25">
      <c r="A13" s="62" t="s">
        <v>442</v>
      </c>
      <c r="B13" s="157" t="s">
        <v>443</v>
      </c>
      <c r="C13" s="158"/>
      <c r="D13" s="63" t="s">
        <v>444</v>
      </c>
      <c r="E13" s="157" t="s">
        <v>445</v>
      </c>
      <c r="F13" s="158"/>
      <c r="G13" s="63" t="s">
        <v>446</v>
      </c>
      <c r="H13" s="157" t="s">
        <v>447</v>
      </c>
      <c r="I13" s="158"/>
    </row>
    <row r="14" spans="1:9" ht="15.75" x14ac:dyDescent="0.25">
      <c r="A14" s="64" t="s">
        <v>448</v>
      </c>
      <c r="B14" s="65" t="s">
        <v>449</v>
      </c>
      <c r="C14" s="66">
        <f>SUM('Stavební rozpočet'!AB12:AB236)</f>
        <v>0</v>
      </c>
      <c r="D14" s="145" t="s">
        <v>450</v>
      </c>
      <c r="E14" s="146"/>
      <c r="F14" s="66">
        <f>VORN!I15</f>
        <v>0</v>
      </c>
      <c r="G14" s="145" t="s">
        <v>451</v>
      </c>
      <c r="H14" s="146"/>
      <c r="I14" s="67">
        <f>VORN!I21</f>
        <v>0</v>
      </c>
    </row>
    <row r="15" spans="1:9" ht="15.75" x14ac:dyDescent="0.25">
      <c r="A15" s="68" t="s">
        <v>51</v>
      </c>
      <c r="B15" s="65" t="s">
        <v>36</v>
      </c>
      <c r="C15" s="66">
        <f>SUM('Stavební rozpočet'!AC12:AC236)</f>
        <v>0</v>
      </c>
      <c r="D15" s="145" t="s">
        <v>452</v>
      </c>
      <c r="E15" s="146"/>
      <c r="F15" s="66">
        <f>VORN!I16</f>
        <v>0</v>
      </c>
      <c r="G15" s="145" t="s">
        <v>453</v>
      </c>
      <c r="H15" s="146"/>
      <c r="I15" s="67">
        <f>VORN!I22</f>
        <v>0</v>
      </c>
    </row>
    <row r="16" spans="1:9" ht="15.75" x14ac:dyDescent="0.25">
      <c r="A16" s="64" t="s">
        <v>454</v>
      </c>
      <c r="B16" s="65" t="s">
        <v>449</v>
      </c>
      <c r="C16" s="66">
        <f>SUM('Stavební rozpočet'!AD12:AD236)</f>
        <v>0</v>
      </c>
      <c r="D16" s="145" t="s">
        <v>455</v>
      </c>
      <c r="E16" s="146"/>
      <c r="F16" s="66">
        <f>VORN!I17</f>
        <v>0</v>
      </c>
      <c r="G16" s="145" t="s">
        <v>456</v>
      </c>
      <c r="H16" s="146"/>
      <c r="I16" s="67">
        <f>VORN!I23</f>
        <v>0</v>
      </c>
    </row>
    <row r="17" spans="1:9" ht="15.75" x14ac:dyDescent="0.25">
      <c r="A17" s="68" t="s">
        <v>51</v>
      </c>
      <c r="B17" s="65" t="s">
        <v>36</v>
      </c>
      <c r="C17" s="66">
        <f>SUM('Stavební rozpočet'!AE12:AE236)</f>
        <v>0</v>
      </c>
      <c r="D17" s="145" t="s">
        <v>51</v>
      </c>
      <c r="E17" s="146"/>
      <c r="F17" s="67" t="s">
        <v>51</v>
      </c>
      <c r="G17" s="145" t="s">
        <v>457</v>
      </c>
      <c r="H17" s="146"/>
      <c r="I17" s="67">
        <f>VORN!I24</f>
        <v>0</v>
      </c>
    </row>
    <row r="18" spans="1:9" ht="15.75" x14ac:dyDescent="0.25">
      <c r="A18" s="64" t="s">
        <v>458</v>
      </c>
      <c r="B18" s="65" t="s">
        <v>449</v>
      </c>
      <c r="C18" s="66">
        <f>SUM('Stavební rozpočet'!AF12:AF236)</f>
        <v>0</v>
      </c>
      <c r="D18" s="145" t="s">
        <v>51</v>
      </c>
      <c r="E18" s="146"/>
      <c r="F18" s="67" t="s">
        <v>51</v>
      </c>
      <c r="G18" s="145" t="s">
        <v>459</v>
      </c>
      <c r="H18" s="146"/>
      <c r="I18" s="67">
        <f>VORN!I25</f>
        <v>0</v>
      </c>
    </row>
    <row r="19" spans="1:9" ht="15.75" x14ac:dyDescent="0.25">
      <c r="A19" s="68" t="s">
        <v>51</v>
      </c>
      <c r="B19" s="65" t="s">
        <v>36</v>
      </c>
      <c r="C19" s="66">
        <f>SUM('Stavební rozpočet'!AG12:AG236)</f>
        <v>0</v>
      </c>
      <c r="D19" s="145" t="s">
        <v>51</v>
      </c>
      <c r="E19" s="146"/>
      <c r="F19" s="67" t="s">
        <v>51</v>
      </c>
      <c r="G19" s="145" t="s">
        <v>460</v>
      </c>
      <c r="H19" s="146"/>
      <c r="I19" s="67">
        <f>VORN!I26</f>
        <v>0</v>
      </c>
    </row>
    <row r="20" spans="1:9" ht="15.75" x14ac:dyDescent="0.25">
      <c r="A20" s="137" t="s">
        <v>461</v>
      </c>
      <c r="B20" s="138"/>
      <c r="C20" s="66">
        <f>SUM('Stavební rozpočet'!AH12:AH236)</f>
        <v>0</v>
      </c>
      <c r="D20" s="145" t="s">
        <v>51</v>
      </c>
      <c r="E20" s="146"/>
      <c r="F20" s="67" t="s">
        <v>51</v>
      </c>
      <c r="G20" s="145" t="s">
        <v>51</v>
      </c>
      <c r="H20" s="146"/>
      <c r="I20" s="67" t="s">
        <v>51</v>
      </c>
    </row>
    <row r="21" spans="1:9" ht="15.75" x14ac:dyDescent="0.25">
      <c r="A21" s="152" t="s">
        <v>462</v>
      </c>
      <c r="B21" s="153"/>
      <c r="C21" s="69">
        <f>SUM('Stavební rozpočet'!Z12:Z236)</f>
        <v>0</v>
      </c>
      <c r="D21" s="147" t="s">
        <v>51</v>
      </c>
      <c r="E21" s="148"/>
      <c r="F21" s="70" t="s">
        <v>51</v>
      </c>
      <c r="G21" s="147" t="s">
        <v>51</v>
      </c>
      <c r="H21" s="148"/>
      <c r="I21" s="70" t="s">
        <v>51</v>
      </c>
    </row>
    <row r="22" spans="1:9" ht="16.5" customHeight="1" x14ac:dyDescent="0.25">
      <c r="A22" s="154" t="s">
        <v>463</v>
      </c>
      <c r="B22" s="150"/>
      <c r="C22" s="71">
        <f>ROUND(SUM(C14:C21),1)</f>
        <v>0</v>
      </c>
      <c r="D22" s="149" t="s">
        <v>464</v>
      </c>
      <c r="E22" s="150"/>
      <c r="F22" s="71">
        <f>SUM(F14:F21)</f>
        <v>0</v>
      </c>
      <c r="G22" s="149" t="s">
        <v>465</v>
      </c>
      <c r="H22" s="150"/>
      <c r="I22" s="71">
        <f>SUM(I14:I21)</f>
        <v>0</v>
      </c>
    </row>
    <row r="23" spans="1:9" ht="15.75" x14ac:dyDescent="0.25">
      <c r="D23" s="137" t="s">
        <v>466</v>
      </c>
      <c r="E23" s="138"/>
      <c r="F23" s="72">
        <v>0</v>
      </c>
      <c r="G23" s="151" t="s">
        <v>467</v>
      </c>
      <c r="H23" s="138"/>
      <c r="I23" s="66">
        <v>0</v>
      </c>
    </row>
    <row r="24" spans="1:9" ht="15.75" x14ac:dyDescent="0.25">
      <c r="G24" s="137" t="s">
        <v>468</v>
      </c>
      <c r="H24" s="138"/>
      <c r="I24" s="69">
        <f>vorn_sum</f>
        <v>0</v>
      </c>
    </row>
    <row r="25" spans="1:9" ht="15.75" x14ac:dyDescent="0.25">
      <c r="G25" s="137" t="s">
        <v>469</v>
      </c>
      <c r="H25" s="138"/>
      <c r="I25" s="71">
        <v>0</v>
      </c>
    </row>
    <row r="27" spans="1:9" ht="15.75" x14ac:dyDescent="0.25">
      <c r="A27" s="139" t="s">
        <v>470</v>
      </c>
      <c r="B27" s="140"/>
      <c r="C27" s="73">
        <f>ROUND(SUM('Stavební rozpočet'!AJ12:AJ236),1)</f>
        <v>0</v>
      </c>
    </row>
    <row r="28" spans="1:9" ht="15.75" x14ac:dyDescent="0.25">
      <c r="A28" s="141" t="s">
        <v>471</v>
      </c>
      <c r="B28" s="142"/>
      <c r="C28" s="74">
        <f>ROUND(SUM('Stavební rozpočet'!AK12:AK236),1)</f>
        <v>0</v>
      </c>
      <c r="D28" s="143" t="s">
        <v>472</v>
      </c>
      <c r="E28" s="140"/>
      <c r="F28" s="73">
        <f>ROUND(C28*(12/100),2)</f>
        <v>0</v>
      </c>
      <c r="G28" s="143" t="s">
        <v>473</v>
      </c>
      <c r="H28" s="140"/>
      <c r="I28" s="73">
        <f>ROUND(SUM(C27:C29),1)</f>
        <v>0</v>
      </c>
    </row>
    <row r="29" spans="1:9" ht="15.75" x14ac:dyDescent="0.25">
      <c r="A29" s="141" t="s">
        <v>474</v>
      </c>
      <c r="B29" s="142"/>
      <c r="C29" s="74">
        <f>ROUND(SUM('Stavební rozpočet'!AL12:AL236)+(F22+I22+F23+I23+I24+I25),1)</f>
        <v>0</v>
      </c>
      <c r="D29" s="144" t="s">
        <v>475</v>
      </c>
      <c r="E29" s="142"/>
      <c r="F29" s="74">
        <f>ROUND(C29*(21/100),2)</f>
        <v>0</v>
      </c>
      <c r="G29" s="144" t="s">
        <v>476</v>
      </c>
      <c r="H29" s="142"/>
      <c r="I29" s="74">
        <f>SUM(F28:F29)+I28</f>
        <v>0</v>
      </c>
    </row>
    <row r="31" spans="1:9" x14ac:dyDescent="0.25">
      <c r="A31" s="134" t="s">
        <v>477</v>
      </c>
      <c r="B31" s="126"/>
      <c r="C31" s="127"/>
      <c r="D31" s="125" t="s">
        <v>478</v>
      </c>
      <c r="E31" s="126"/>
      <c r="F31" s="127"/>
      <c r="G31" s="125" t="s">
        <v>479</v>
      </c>
      <c r="H31" s="126"/>
      <c r="I31" s="127"/>
    </row>
    <row r="32" spans="1:9" x14ac:dyDescent="0.25">
      <c r="A32" s="135" t="s">
        <v>51</v>
      </c>
      <c r="B32" s="129"/>
      <c r="C32" s="130"/>
      <c r="D32" s="128" t="s">
        <v>51</v>
      </c>
      <c r="E32" s="129"/>
      <c r="F32" s="130"/>
      <c r="G32" s="128" t="s">
        <v>51</v>
      </c>
      <c r="H32" s="129"/>
      <c r="I32" s="130"/>
    </row>
    <row r="33" spans="1:9" x14ac:dyDescent="0.25">
      <c r="A33" s="135" t="s">
        <v>51</v>
      </c>
      <c r="B33" s="129"/>
      <c r="C33" s="130"/>
      <c r="D33" s="128" t="s">
        <v>51</v>
      </c>
      <c r="E33" s="129"/>
      <c r="F33" s="130"/>
      <c r="G33" s="128" t="s">
        <v>51</v>
      </c>
      <c r="H33" s="129"/>
      <c r="I33" s="130"/>
    </row>
    <row r="34" spans="1:9" x14ac:dyDescent="0.25">
      <c r="A34" s="135" t="s">
        <v>51</v>
      </c>
      <c r="B34" s="129"/>
      <c r="C34" s="130"/>
      <c r="D34" s="128" t="s">
        <v>51</v>
      </c>
      <c r="E34" s="129"/>
      <c r="F34" s="130"/>
      <c r="G34" s="128" t="s">
        <v>51</v>
      </c>
      <c r="H34" s="129"/>
      <c r="I34" s="130"/>
    </row>
    <row r="35" spans="1:9" x14ac:dyDescent="0.25">
      <c r="A35" s="136" t="s">
        <v>480</v>
      </c>
      <c r="B35" s="132"/>
      <c r="C35" s="133"/>
      <c r="D35" s="131" t="s">
        <v>480</v>
      </c>
      <c r="E35" s="132"/>
      <c r="F35" s="133"/>
      <c r="G35" s="131" t="s">
        <v>480</v>
      </c>
      <c r="H35" s="132"/>
      <c r="I35" s="133"/>
    </row>
    <row r="36" spans="1:9" x14ac:dyDescent="0.25">
      <c r="A36" s="75" t="s">
        <v>425</v>
      </c>
    </row>
    <row r="37" spans="1:9" ht="12.75" customHeight="1" x14ac:dyDescent="0.25">
      <c r="A37" s="84" t="s">
        <v>51</v>
      </c>
      <c r="B37" s="85"/>
      <c r="C37" s="85"/>
      <c r="D37" s="85"/>
      <c r="E37" s="85"/>
      <c r="F37" s="85"/>
      <c r="G37" s="85"/>
      <c r="H37" s="85"/>
      <c r="I37" s="85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6"/>
  <sheetViews>
    <sheetView tabSelected="1" workbookViewId="0">
      <selection activeCell="C4" sqref="C4:D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60" t="s">
        <v>481</v>
      </c>
      <c r="B1" s="111"/>
      <c r="C1" s="111"/>
      <c r="D1" s="111"/>
      <c r="E1" s="111"/>
      <c r="F1" s="111"/>
      <c r="G1" s="111"/>
      <c r="H1" s="111"/>
      <c r="I1" s="111"/>
    </row>
    <row r="2" spans="1:9" x14ac:dyDescent="0.25">
      <c r="A2" s="112" t="s">
        <v>1</v>
      </c>
      <c r="B2" s="104"/>
      <c r="C2" s="117" t="str">
        <f>'Stavební rozpočet'!C2</f>
        <v>„VOŠZ a SZŠ Svitavy – výměna oken v budově domova mládeže“</v>
      </c>
      <c r="D2" s="118"/>
      <c r="E2" s="116" t="s">
        <v>4</v>
      </c>
      <c r="F2" s="116" t="str">
        <f>'Stavební rozpočet'!I2</f>
        <v> </v>
      </c>
      <c r="G2" s="104"/>
      <c r="H2" s="116" t="s">
        <v>437</v>
      </c>
      <c r="I2" s="105" t="s">
        <v>51</v>
      </c>
    </row>
    <row r="3" spans="1:9" ht="15" customHeight="1" x14ac:dyDescent="0.25">
      <c r="A3" s="113"/>
      <c r="B3" s="85"/>
      <c r="C3" s="119"/>
      <c r="D3" s="119"/>
      <c r="E3" s="85"/>
      <c r="F3" s="85"/>
      <c r="G3" s="85"/>
      <c r="H3" s="85"/>
      <c r="I3" s="106"/>
    </row>
    <row r="4" spans="1:9" x14ac:dyDescent="0.25">
      <c r="A4" s="114" t="s">
        <v>6</v>
      </c>
      <c r="B4" s="85"/>
      <c r="C4" s="84" t="str">
        <f>'Stavební rozpočet'!C4</f>
        <v>Domov mládeže, Kijevská 1909/7, Předměstí, Svitavy</v>
      </c>
      <c r="D4" s="85"/>
      <c r="E4" s="84" t="s">
        <v>9</v>
      </c>
      <c r="F4" s="84" t="str">
        <f>'Stavební rozpočet'!I4</f>
        <v>ing. Karel Kundera</v>
      </c>
      <c r="G4" s="85"/>
      <c r="H4" s="84" t="s">
        <v>437</v>
      </c>
      <c r="I4" s="106" t="s">
        <v>438</v>
      </c>
    </row>
    <row r="5" spans="1:9" ht="15" customHeight="1" x14ac:dyDescent="0.25">
      <c r="A5" s="113"/>
      <c r="B5" s="85"/>
      <c r="C5" s="85"/>
      <c r="D5" s="85"/>
      <c r="E5" s="85"/>
      <c r="F5" s="85"/>
      <c r="G5" s="85"/>
      <c r="H5" s="85"/>
      <c r="I5" s="106"/>
    </row>
    <row r="6" spans="1:9" x14ac:dyDescent="0.25">
      <c r="A6" s="114" t="s">
        <v>11</v>
      </c>
      <c r="B6" s="85"/>
      <c r="C6" s="84" t="str">
        <f>'Stavební rozpočet'!C6</f>
        <v>Svitavy</v>
      </c>
      <c r="D6" s="85"/>
      <c r="E6" s="84" t="s">
        <v>15</v>
      </c>
      <c r="F6" s="84" t="str">
        <f>'Stavební rozpočet'!I6</f>
        <v> </v>
      </c>
      <c r="G6" s="85"/>
      <c r="H6" s="84" t="s">
        <v>437</v>
      </c>
      <c r="I6" s="106" t="s">
        <v>51</v>
      </c>
    </row>
    <row r="7" spans="1:9" ht="15" customHeight="1" x14ac:dyDescent="0.25">
      <c r="A7" s="113"/>
      <c r="B7" s="85"/>
      <c r="C7" s="85"/>
      <c r="D7" s="85"/>
      <c r="E7" s="85"/>
      <c r="F7" s="85"/>
      <c r="G7" s="85"/>
      <c r="H7" s="85"/>
      <c r="I7" s="106"/>
    </row>
    <row r="8" spans="1:9" x14ac:dyDescent="0.25">
      <c r="A8" s="114" t="s">
        <v>7</v>
      </c>
      <c r="B8" s="85"/>
      <c r="C8" s="84" t="str">
        <f>'Stavební rozpočet'!G4</f>
        <v>01.12.2024</v>
      </c>
      <c r="D8" s="85"/>
      <c r="E8" s="84" t="s">
        <v>13</v>
      </c>
      <c r="F8" s="84" t="str">
        <f>'Stavební rozpočet'!G6</f>
        <v>30.05.2025</v>
      </c>
      <c r="G8" s="85"/>
      <c r="H8" s="85" t="s">
        <v>439</v>
      </c>
      <c r="I8" s="161">
        <v>61</v>
      </c>
    </row>
    <row r="9" spans="1:9" x14ac:dyDescent="0.25">
      <c r="A9" s="113"/>
      <c r="B9" s="85"/>
      <c r="C9" s="85"/>
      <c r="D9" s="85"/>
      <c r="E9" s="85"/>
      <c r="F9" s="85"/>
      <c r="G9" s="85"/>
      <c r="H9" s="85"/>
      <c r="I9" s="106"/>
    </row>
    <row r="10" spans="1:9" x14ac:dyDescent="0.25">
      <c r="A10" s="114" t="s">
        <v>16</v>
      </c>
      <c r="B10" s="85"/>
      <c r="C10" s="84" t="str">
        <f>'Stavební rozpočet'!C8</f>
        <v>8017212</v>
      </c>
      <c r="D10" s="85"/>
      <c r="E10" s="84" t="s">
        <v>20</v>
      </c>
      <c r="F10" s="84" t="str">
        <f>'Stavební rozpočet'!I8</f>
        <v>ing. Karel Kundera</v>
      </c>
      <c r="G10" s="85"/>
      <c r="H10" s="85" t="s">
        <v>440</v>
      </c>
      <c r="I10" s="121" t="str">
        <f>'Stavební rozpočet'!G8</f>
        <v>04.10.2024</v>
      </c>
    </row>
    <row r="11" spans="1:9" x14ac:dyDescent="0.25">
      <c r="A11" s="159"/>
      <c r="B11" s="122"/>
      <c r="C11" s="122"/>
      <c r="D11" s="122"/>
      <c r="E11" s="122"/>
      <c r="F11" s="122"/>
      <c r="G11" s="122"/>
      <c r="H11" s="122"/>
      <c r="I11" s="155"/>
    </row>
    <row r="13" spans="1:9" ht="15.75" x14ac:dyDescent="0.25">
      <c r="A13" s="171" t="s">
        <v>482</v>
      </c>
      <c r="B13" s="171"/>
      <c r="C13" s="171"/>
      <c r="D13" s="171"/>
      <c r="E13" s="171"/>
    </row>
    <row r="14" spans="1:9" x14ac:dyDescent="0.25">
      <c r="A14" s="172" t="s">
        <v>483</v>
      </c>
      <c r="B14" s="173"/>
      <c r="C14" s="173"/>
      <c r="D14" s="173"/>
      <c r="E14" s="174"/>
      <c r="F14" s="76" t="s">
        <v>484</v>
      </c>
      <c r="G14" s="76" t="s">
        <v>485</v>
      </c>
      <c r="H14" s="76" t="s">
        <v>486</v>
      </c>
      <c r="I14" s="76" t="s">
        <v>484</v>
      </c>
    </row>
    <row r="15" spans="1:9" x14ac:dyDescent="0.25">
      <c r="A15" s="178" t="s">
        <v>450</v>
      </c>
      <c r="B15" s="179"/>
      <c r="C15" s="179"/>
      <c r="D15" s="179"/>
      <c r="E15" s="180"/>
      <c r="F15" s="77">
        <v>0</v>
      </c>
      <c r="G15" s="78" t="s">
        <v>51</v>
      </c>
      <c r="H15" s="78" t="s">
        <v>51</v>
      </c>
      <c r="I15" s="77">
        <f>F15</f>
        <v>0</v>
      </c>
    </row>
    <row r="16" spans="1:9" x14ac:dyDescent="0.25">
      <c r="A16" s="178" t="s">
        <v>452</v>
      </c>
      <c r="B16" s="179"/>
      <c r="C16" s="179"/>
      <c r="D16" s="179"/>
      <c r="E16" s="180"/>
      <c r="F16" s="77">
        <v>0</v>
      </c>
      <c r="G16" s="78" t="s">
        <v>51</v>
      </c>
      <c r="H16" s="78" t="s">
        <v>51</v>
      </c>
      <c r="I16" s="77">
        <f>F16</f>
        <v>0</v>
      </c>
    </row>
    <row r="17" spans="1:9" x14ac:dyDescent="0.25">
      <c r="A17" s="175" t="s">
        <v>455</v>
      </c>
      <c r="B17" s="176"/>
      <c r="C17" s="176"/>
      <c r="D17" s="176"/>
      <c r="E17" s="177"/>
      <c r="F17" s="79">
        <v>0</v>
      </c>
      <c r="G17" s="80" t="s">
        <v>51</v>
      </c>
      <c r="H17" s="80" t="s">
        <v>51</v>
      </c>
      <c r="I17" s="79">
        <f>F17</f>
        <v>0</v>
      </c>
    </row>
    <row r="18" spans="1:9" x14ac:dyDescent="0.25">
      <c r="A18" s="162" t="s">
        <v>487</v>
      </c>
      <c r="B18" s="163"/>
      <c r="C18" s="163"/>
      <c r="D18" s="163"/>
      <c r="E18" s="164"/>
      <c r="F18" s="81" t="s">
        <v>51</v>
      </c>
      <c r="G18" s="82" t="s">
        <v>51</v>
      </c>
      <c r="H18" s="82" t="s">
        <v>51</v>
      </c>
      <c r="I18" s="83">
        <f>SUM(I15:I17)</f>
        <v>0</v>
      </c>
    </row>
    <row r="20" spans="1:9" x14ac:dyDescent="0.25">
      <c r="A20" s="172" t="s">
        <v>447</v>
      </c>
      <c r="B20" s="173"/>
      <c r="C20" s="173"/>
      <c r="D20" s="173"/>
      <c r="E20" s="174"/>
      <c r="F20" s="76" t="s">
        <v>484</v>
      </c>
      <c r="G20" s="76" t="s">
        <v>485</v>
      </c>
      <c r="H20" s="76" t="s">
        <v>486</v>
      </c>
      <c r="I20" s="76" t="s">
        <v>484</v>
      </c>
    </row>
    <row r="21" spans="1:9" x14ac:dyDescent="0.25">
      <c r="A21" s="178" t="s">
        <v>451</v>
      </c>
      <c r="B21" s="179"/>
      <c r="C21" s="179"/>
      <c r="D21" s="179"/>
      <c r="E21" s="180"/>
      <c r="F21" s="78" t="s">
        <v>51</v>
      </c>
      <c r="G21" s="77"/>
      <c r="H21" s="77">
        <f>'Krycí list rozpočtu'!C22</f>
        <v>0</v>
      </c>
      <c r="I21" s="77">
        <f>ROUND((G21/100)*H21,2)</f>
        <v>0</v>
      </c>
    </row>
    <row r="22" spans="1:9" x14ac:dyDescent="0.25">
      <c r="A22" s="178" t="s">
        <v>453</v>
      </c>
      <c r="B22" s="179"/>
      <c r="C22" s="179"/>
      <c r="D22" s="179"/>
      <c r="E22" s="180"/>
      <c r="F22" s="77">
        <v>0</v>
      </c>
      <c r="G22" s="78" t="s">
        <v>51</v>
      </c>
      <c r="H22" s="78" t="s">
        <v>51</v>
      </c>
      <c r="I22" s="77">
        <f>F22</f>
        <v>0</v>
      </c>
    </row>
    <row r="23" spans="1:9" x14ac:dyDescent="0.25">
      <c r="A23" s="178" t="s">
        <v>456</v>
      </c>
      <c r="B23" s="179"/>
      <c r="C23" s="179"/>
      <c r="D23" s="179"/>
      <c r="E23" s="180"/>
      <c r="F23" s="77">
        <v>0</v>
      </c>
      <c r="G23" s="78" t="s">
        <v>51</v>
      </c>
      <c r="H23" s="78" t="s">
        <v>51</v>
      </c>
      <c r="I23" s="77">
        <f>F23</f>
        <v>0</v>
      </c>
    </row>
    <row r="24" spans="1:9" x14ac:dyDescent="0.25">
      <c r="A24" s="178" t="s">
        <v>457</v>
      </c>
      <c r="B24" s="179"/>
      <c r="C24" s="179"/>
      <c r="D24" s="179"/>
      <c r="E24" s="180"/>
      <c r="F24" s="77"/>
      <c r="G24" s="78" t="s">
        <v>51</v>
      </c>
      <c r="H24" s="77">
        <f>'Krycí list rozpočtu'!C25</f>
        <v>0</v>
      </c>
      <c r="I24" s="77">
        <f>F24</f>
        <v>0</v>
      </c>
    </row>
    <row r="25" spans="1:9" x14ac:dyDescent="0.25">
      <c r="A25" s="178" t="s">
        <v>459</v>
      </c>
      <c r="B25" s="179"/>
      <c r="C25" s="179"/>
      <c r="D25" s="179"/>
      <c r="E25" s="180"/>
      <c r="F25" s="77">
        <v>0</v>
      </c>
      <c r="G25" s="78" t="s">
        <v>51</v>
      </c>
      <c r="H25" s="78" t="s">
        <v>51</v>
      </c>
      <c r="I25" s="77">
        <f>F25</f>
        <v>0</v>
      </c>
    </row>
    <row r="26" spans="1:9" x14ac:dyDescent="0.25">
      <c r="A26" s="175" t="s">
        <v>460</v>
      </c>
      <c r="B26" s="176"/>
      <c r="C26" s="176"/>
      <c r="D26" s="176"/>
      <c r="E26" s="177"/>
      <c r="F26" s="79">
        <v>0</v>
      </c>
      <c r="G26" s="80" t="s">
        <v>51</v>
      </c>
      <c r="H26" s="80" t="s">
        <v>51</v>
      </c>
      <c r="I26" s="79">
        <f>F26</f>
        <v>0</v>
      </c>
    </row>
    <row r="27" spans="1:9" x14ac:dyDescent="0.25">
      <c r="A27" s="162" t="s">
        <v>488</v>
      </c>
      <c r="B27" s="163"/>
      <c r="C27" s="163"/>
      <c r="D27" s="163"/>
      <c r="E27" s="164"/>
      <c r="F27" s="81" t="s">
        <v>51</v>
      </c>
      <c r="G27" s="82" t="s">
        <v>51</v>
      </c>
      <c r="H27" s="82" t="s">
        <v>51</v>
      </c>
      <c r="I27" s="83">
        <f>SUM(I21:I26)</f>
        <v>0</v>
      </c>
    </row>
    <row r="29" spans="1:9" ht="15.75" x14ac:dyDescent="0.25">
      <c r="A29" s="165" t="s">
        <v>489</v>
      </c>
      <c r="B29" s="166"/>
      <c r="C29" s="166"/>
      <c r="D29" s="166"/>
      <c r="E29" s="167"/>
      <c r="F29" s="168">
        <f>I18+I27</f>
        <v>0</v>
      </c>
      <c r="G29" s="169"/>
      <c r="H29" s="169"/>
      <c r="I29" s="170"/>
    </row>
    <row r="33" spans="1:9" ht="15.75" x14ac:dyDescent="0.25">
      <c r="A33" s="171" t="s">
        <v>490</v>
      </c>
      <c r="B33" s="171"/>
      <c r="C33" s="171"/>
      <c r="D33" s="171"/>
      <c r="E33" s="171"/>
    </row>
    <row r="34" spans="1:9" x14ac:dyDescent="0.25">
      <c r="A34" s="172" t="s">
        <v>491</v>
      </c>
      <c r="B34" s="173"/>
      <c r="C34" s="173"/>
      <c r="D34" s="173"/>
      <c r="E34" s="174"/>
      <c r="F34" s="76" t="s">
        <v>484</v>
      </c>
      <c r="G34" s="76" t="s">
        <v>485</v>
      </c>
      <c r="H34" s="76" t="s">
        <v>486</v>
      </c>
      <c r="I34" s="76" t="s">
        <v>484</v>
      </c>
    </row>
    <row r="35" spans="1:9" x14ac:dyDescent="0.25">
      <c r="A35" s="175" t="s">
        <v>51</v>
      </c>
      <c r="B35" s="176"/>
      <c r="C35" s="176"/>
      <c r="D35" s="176"/>
      <c r="E35" s="177"/>
      <c r="F35" s="79">
        <v>0</v>
      </c>
      <c r="G35" s="80" t="s">
        <v>51</v>
      </c>
      <c r="H35" s="80" t="s">
        <v>51</v>
      </c>
      <c r="I35" s="79">
        <f>F35</f>
        <v>0</v>
      </c>
    </row>
    <row r="36" spans="1:9" x14ac:dyDescent="0.25">
      <c r="A36" s="162" t="s">
        <v>492</v>
      </c>
      <c r="B36" s="163"/>
      <c r="C36" s="163"/>
      <c r="D36" s="163"/>
      <c r="E36" s="164"/>
      <c r="F36" s="81" t="s">
        <v>51</v>
      </c>
      <c r="G36" s="82" t="s">
        <v>51</v>
      </c>
      <c r="H36" s="82" t="s">
        <v>51</v>
      </c>
      <c r="I36" s="83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Stavební rozpočet</vt:lpstr>
      <vt:lpstr>Stavební rozpočet - součet</vt:lpstr>
      <vt:lpstr>Výkaz výměr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Radim Dřímal</cp:lastModifiedBy>
  <dcterms:created xsi:type="dcterms:W3CDTF">2021-06-10T20:06:38Z</dcterms:created>
  <dcterms:modified xsi:type="dcterms:W3CDTF">2024-11-19T18:42:51Z</dcterms:modified>
</cp:coreProperties>
</file>